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drawings/drawing1.xml" ContentType="application/vnd.openxmlformats-officedocument.drawing+xml"/>
  <Override PartName="/xl/drawings/_rels/drawing7.xml.rels" ContentType="application/vnd.openxmlformats-package.relationships+xml"/>
  <Override PartName="/xl/drawings/_rels/drawing6.xml.rels" ContentType="application/vnd.openxmlformats-package.relationships+xml"/>
  <Override PartName="/xl/drawings/_rels/drawing3.xml.rels" ContentType="application/vnd.openxmlformats-package.relationships+xml"/>
  <Override PartName="/xl/drawings/_rels/drawing5.xml.rels" ContentType="application/vnd.openxmlformats-package.relationships+xml"/>
  <Override PartName="/xl/drawings/_rels/drawing4.xml.rels" ContentType="application/vnd.openxmlformats-package.relationships+xml"/>
  <Override PartName="/xl/drawings/_rels/drawing2.xml.rels" ContentType="application/vnd.openxmlformats-package.relationships+xml"/>
  <Override PartName="/xl/drawings/_rels/drawing1.xml.rels" ContentType="application/vnd.openxmlformats-package.relationship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_rels/sheet8.xml.rels" ContentType="application/vnd.openxmlformats-package.relationships+xml"/>
  <Override PartName="/xl/worksheets/_rels/sheet7.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_rels/workbook.xml.rels" ContentType="application/vnd.openxmlformats-package.relationships+xml"/>
  <Override PartName="/xl/media/image1.png" ContentType="image/png"/>
  <Override PartName="/xl/media/image2.png" ContentType="image/png"/>
  <Override PartName="/xl/media/image3.png" ContentType="image/png"/>
  <Override PartName="/xl/media/image4.png" ContentType="image/png"/>
  <Override PartName="/xl/media/image5.png" ContentType="image/png"/>
  <Override PartName="/xl/media/image6.png" ContentType="image/png"/>
  <Override PartName="/xl/media/image7.png" ContentType="image/p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5"/>
  </bookViews>
  <sheets>
    <sheet name="Index" sheetId="1" state="visible" r:id="rId2"/>
    <sheet name="Assessor" sheetId="2" state="visible" r:id="rId3"/>
    <sheet name="Recorder" sheetId="3" state="visible" r:id="rId4"/>
    <sheet name="AVM" sheetId="4" state="visible" r:id="rId5"/>
    <sheet name="Boundaries" sheetId="5" state="visible" r:id="rId6"/>
    <sheet name="Values List" sheetId="6" state="visible" r:id="rId7"/>
    <sheet name="Residential Counts" sheetId="7" state="hidden" r:id="rId8"/>
    <sheet name="Nonresidential Counts" sheetId="8" state="hidden" r:id="rId9"/>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<sst xmlns="http://schemas.openxmlformats.org/spreadsheetml/2006/main" count="5484" uniqueCount="1822">
  <si>
    <t xml:space="preserve">Estated Data Dictionary</t>
  </si>
  <si>
    <t xml:space="preserve">API Documentation</t>
  </si>
  <si>
    <t xml:space="preserve">https://estated.com/developers/docs</t>
  </si>
  <si>
    <t xml:space="preserve">Data Support</t>
  </si>
  <si>
    <t xml:space="preserve">support@estated.com</t>
  </si>
  <si>
    <t xml:space="preserve">For Pricing</t>
  </si>
  <si>
    <t xml:space="preserve">sales@estated.com</t>
  </si>
  <si>
    <r>
      <rPr>
        <b val="true"/>
        <sz val="11"/>
        <color rgb="FFFF0000"/>
        <rFont val="Arial"/>
        <family val="0"/>
        <charset val="1"/>
      </rPr>
      <t xml:space="preserve">Important:
</t>
    </r>
    <r>
      <rPr>
        <sz val="11"/>
        <color rgb="FF000000"/>
        <rFont val="Arial"/>
        <family val="0"/>
        <charset val="1"/>
      </rPr>
      <t xml:space="preserve">Each component includes the FIPS and APN which are intended to be used together to uniquely identify a property and cross reference between files. 
</t>
    </r>
    <r>
      <rPr>
        <b val="true"/>
        <sz val="11"/>
        <color rgb="FF000000"/>
        <rFont val="Arial"/>
        <family val="0"/>
        <charset val="1"/>
      </rPr>
      <t xml:space="preserve">FIPS</t>
    </r>
    <r>
      <rPr>
        <sz val="11"/>
        <color rgb="FF000000"/>
        <rFont val="Arial"/>
        <family val="0"/>
        <charset val="1"/>
      </rPr>
      <t xml:space="preserve"> = unique across the country; </t>
    </r>
    <r>
      <rPr>
        <b val="true"/>
        <sz val="11"/>
        <color rgb="FF000000"/>
        <rFont val="Arial"/>
        <family val="0"/>
        <charset val="1"/>
      </rPr>
      <t xml:space="preserve">APN</t>
    </r>
    <r>
      <rPr>
        <sz val="11"/>
        <color rgb="FF000000"/>
        <rFont val="Arial"/>
        <family val="0"/>
        <charset val="1"/>
      </rPr>
      <t xml:space="preserve"> = unique in a single county, not unique across the country</t>
    </r>
  </si>
  <si>
    <t xml:space="preserve">Metadata</t>
  </si>
  <si>
    <t xml:space="preserve">Field</t>
  </si>
  <si>
    <t xml:space="preserve">Type</t>
  </si>
  <si>
    <t xml:space="preserve">Description</t>
  </si>
  <si>
    <t xml:space="preserve">Example</t>
  </si>
  <si>
    <t xml:space="preserve">fips</t>
  </si>
  <si>
    <t xml:space="preserve">string</t>
  </si>
  <si>
    <t xml:space="preserve">Unique County identifier, first 2 digits are state FIPS.</t>
  </si>
  <si>
    <t xml:space="preserve">apn</t>
  </si>
  <si>
    <t xml:space="preserve">The formatted assessor's parcel number.</t>
  </si>
  <si>
    <t xml:space="preserve">001-090-04-02</t>
  </si>
  <si>
    <t xml:space="preserve">publishing_date</t>
  </si>
  <si>
    <t xml:space="preserve">string [YYYY-MM-DD]</t>
  </si>
  <si>
    <t xml:space="preserve">The date the data was made available at the source.</t>
  </si>
  <si>
    <r>
      <rPr>
        <b val="true"/>
        <sz val="11"/>
        <color rgb="FF000000"/>
        <rFont val="Arial"/>
        <family val="0"/>
        <charset val="1"/>
      </rPr>
      <t xml:space="preserve">Addresses - </t>
    </r>
    <r>
      <rPr>
        <sz val="11"/>
        <color rgb="FF000000"/>
        <rFont val="Arial"/>
        <family val="0"/>
        <charset val="1"/>
      </rPr>
      <t xml:space="preserve">One to one relationship. At most one address record will be available per FIPS and APN.</t>
    </r>
  </si>
  <si>
    <t xml:space="preserve">street_number</t>
  </si>
  <si>
    <t xml:space="preserve">Parsed street number.</t>
  </si>
  <si>
    <t xml:space="preserve">street_pre_direction</t>
  </si>
  <si>
    <t xml:space="preserve">Directional appearing before the street name.</t>
  </si>
  <si>
    <t xml:space="preserve">N</t>
  </si>
  <si>
    <t xml:space="preserve">street_name</t>
  </si>
  <si>
    <t xml:space="preserve">Parsed street name. Numeric street names will include ordinal suffixes (st, nd, rd, th)</t>
  </si>
  <si>
    <t xml:space="preserve">MAIN</t>
  </si>
  <si>
    <t xml:space="preserve">street_suffix</t>
  </si>
  <si>
    <t xml:space="preserve">Standardized and parsed street suffix abbreviation.</t>
  </si>
  <si>
    <t xml:space="preserve">ST</t>
  </si>
  <si>
    <t xml:space="preserve">street_post_direction</t>
  </si>
  <si>
    <t xml:space="preserve">Directional appearing after street suffix denoting quadrant.</t>
  </si>
  <si>
    <t xml:space="preserve">SW</t>
  </si>
  <si>
    <t xml:space="preserve">unit_type</t>
  </si>
  <si>
    <t xml:space="preserve">Unit type abbreviation.</t>
  </si>
  <si>
    <t xml:space="preserve">APT</t>
  </si>
  <si>
    <t xml:space="preserve">unit_number</t>
  </si>
  <si>
    <t xml:space="preserve">Unit number (may be alphanumeric).</t>
  </si>
  <si>
    <t xml:space="preserve">101A</t>
  </si>
  <si>
    <t xml:space="preserve">formatted_street_address</t>
  </si>
  <si>
    <t xml:space="preserve">Combined street address (including unit).</t>
  </si>
  <si>
    <t xml:space="preserve">1650 N 16TH ST SW APT 101</t>
  </si>
  <si>
    <t xml:space="preserve">city</t>
  </si>
  <si>
    <t xml:space="preserve">City name.</t>
  </si>
  <si>
    <t xml:space="preserve">CHICAGO</t>
  </si>
  <si>
    <t xml:space="preserve">state</t>
  </si>
  <si>
    <t xml:space="preserve">State abbreviation.</t>
  </si>
  <si>
    <t xml:space="preserve">IL</t>
  </si>
  <si>
    <t xml:space="preserve">zip_code</t>
  </si>
  <si>
    <t xml:space="preserve">Zip code.</t>
  </si>
  <si>
    <t xml:space="preserve">zip_plus_four_code</t>
  </si>
  <si>
    <t xml:space="preserve">Four digit postal zip extension.</t>
  </si>
  <si>
    <t xml:space="preserve">carrier_code</t>
  </si>
  <si>
    <t xml:space="preserve">USPS code for mail delivery services.</t>
  </si>
  <si>
    <t xml:space="preserve">R001</t>
  </si>
  <si>
    <t xml:space="preserve">latitude</t>
  </si>
  <si>
    <t xml:space="preserve">float</t>
  </si>
  <si>
    <t xml:space="preserve">Measured latitude for the property.</t>
  </si>
  <si>
    <t xml:space="preserve">longitude</t>
  </si>
  <si>
    <t xml:space="preserve">Measured longitude for the property.</t>
  </si>
  <si>
    <t xml:space="preserve">geocoding_accuracy</t>
  </si>
  <si>
    <t xml:space="preserve">Describes the level of geocoding match.</t>
  </si>
  <si>
    <t xml:space="preserve">PARCEL CENTROID</t>
  </si>
  <si>
    <t xml:space="preserve">census_tract</t>
  </si>
  <si>
    <t xml:space="preserve">The census tract as designated by the Census Bureau.</t>
  </si>
  <si>
    <t xml:space="preserve">Estated Data Dictionary - Assessor File</t>
  </si>
  <si>
    <t xml:space="preserve">Includes Metadata and Addresses components.</t>
  </si>
  <si>
    <r>
      <rPr>
        <b val="true"/>
        <sz val="11"/>
        <color rgb="FF000000"/>
        <rFont val="Arial"/>
        <family val="0"/>
        <charset val="1"/>
      </rPr>
      <t xml:space="preserve">Parcels - </t>
    </r>
    <r>
      <rPr>
        <sz val="11"/>
        <color rgb="FF000000"/>
        <rFont val="Arial"/>
        <family val="0"/>
        <charset val="1"/>
      </rPr>
      <t xml:space="preserve">One to one relationship. At most one parcel record will be available per FIPS and APN.</t>
    </r>
  </si>
  <si>
    <t xml:space="preserve">apn_original</t>
  </si>
  <si>
    <t xml:space="preserve">apn_unformatted</t>
  </si>
  <si>
    <t xml:space="preserve">The unformatted assessor's parcel number.</t>
  </si>
  <si>
    <t xml:space="preserve">apn_previous</t>
  </si>
  <si>
    <t xml:space="preserve">A previous assessor's parcel number, formatted.</t>
  </si>
  <si>
    <t xml:space="preserve">001-090-04-00</t>
  </si>
  <si>
    <t xml:space="preserve">fips_code</t>
  </si>
  <si>
    <t xml:space="preserve">depth_ft</t>
  </si>
  <si>
    <t xml:space="preserve">Depth measurement of the parcel in feet.</t>
  </si>
  <si>
    <t xml:space="preserve">frontage_ft</t>
  </si>
  <si>
    <t xml:space="preserve">Frontage measurement of the parcel in feet.</t>
  </si>
  <si>
    <t xml:space="preserve">area_sq_ft</t>
  </si>
  <si>
    <t xml:space="preserve">integer</t>
  </si>
  <si>
    <t xml:space="preserve">Total area of the parcel in square feet.</t>
  </si>
  <si>
    <t xml:space="preserve">area_acres</t>
  </si>
  <si>
    <t xml:space="preserve">Total area of the parcel in acres.</t>
  </si>
  <si>
    <t xml:space="preserve">county_name</t>
  </si>
  <si>
    <t xml:space="preserve">The name of the county.</t>
  </si>
  <si>
    <t xml:space="preserve">COOK</t>
  </si>
  <si>
    <t xml:space="preserve">county_land_use_code</t>
  </si>
  <si>
    <t xml:space="preserve">The land use code as provided directly from the county, without interpretation.</t>
  </si>
  <si>
    <t xml:space="preserve">SFR01</t>
  </si>
  <si>
    <t xml:space="preserve">county_land_use_description</t>
  </si>
  <si>
    <t xml:space="preserve">The land use description as provided by directly from the county, without interpretation.</t>
  </si>
  <si>
    <t xml:space="preserve">RESIDENTIAL SINGLE DWELLING</t>
  </si>
  <si>
    <t xml:space="preserve">standardized_land_use_category</t>
  </si>
  <si>
    <t xml:space="preserve">The general land use category for the property, converted to a common set of values across all counties.</t>
  </si>
  <si>
    <t xml:space="preserve">MULTI-FAMILY RESIDENTIAL</t>
  </si>
  <si>
    <t xml:space="preserve">standardized_land_use_type</t>
  </si>
  <si>
    <t xml:space="preserve">Describes further granularity into the land use type, converted to a common set of values across all counties.</t>
  </si>
  <si>
    <t xml:space="preserve">TOWNHOUSE</t>
  </si>
  <si>
    <t xml:space="preserve">location_descriptions</t>
  </si>
  <si>
    <t xml:space="preserve">[string]</t>
  </si>
  <si>
    <t xml:space="preserve">List describing the location and surrounding area.</t>
  </si>
  <si>
    <t xml:space="preserve">IN CUL-DE-SAC, HAS MOUNTAIN VIEW</t>
  </si>
  <si>
    <t xml:space="preserve">zoning</t>
  </si>
  <si>
    <t xml:space="preserve">City zoning designation, unique to each incorporated area.</t>
  </si>
  <si>
    <t xml:space="preserve">T/G</t>
  </si>
  <si>
    <t xml:space="preserve">building_count</t>
  </si>
  <si>
    <t xml:space="preserve">Count of all buildings on the property.</t>
  </si>
  <si>
    <t xml:space="preserve">tax_account_number</t>
  </si>
  <si>
    <t xml:space="preserve">Parcel identifier used by the tax assessor.</t>
  </si>
  <si>
    <t xml:space="preserve">0134601209K</t>
  </si>
  <si>
    <t xml:space="preserve">legal_description</t>
  </si>
  <si>
    <t xml:space="preserve">Legal description as provided by the assessor.</t>
  </si>
  <si>
    <t xml:space="preserve">LEGAL SUBDIVISION 4, SECTION 10, TOWNSHIP 82, WEST OF THE 6TH MERIDIAN, NEW YORK DISTRICT</t>
  </si>
  <si>
    <t xml:space="preserve">lot_code</t>
  </si>
  <si>
    <t xml:space="preserve">Indicates properties with multiple or partial lots.</t>
  </si>
  <si>
    <t xml:space="preserve">MORE THAN ONE LOT</t>
  </si>
  <si>
    <t xml:space="preserve">lot_number</t>
  </si>
  <si>
    <t xml:space="preserve">Number(s) identifying individual lots making up a property, separated by a comma (,), or ampersand (&amp;). Ranges are denoted by a hyphen (-).</t>
  </si>
  <si>
    <t xml:space="preserve">1-13,15</t>
  </si>
  <si>
    <t xml:space="preserve">subdivision</t>
  </si>
  <si>
    <t xml:space="preserve">The name of the subdivision, plat, or tract in which the property is located</t>
  </si>
  <si>
    <t xml:space="preserve">CRYSTAL LAKE FOREST</t>
  </si>
  <si>
    <t xml:space="preserve">municipality</t>
  </si>
  <si>
    <t xml:space="preserve">The jurisdiction in which the property is located.</t>
  </si>
  <si>
    <t xml:space="preserve">FELL TOWNSHIP</t>
  </si>
  <si>
    <t xml:space="preserve">section_township_range</t>
  </si>
  <si>
    <t xml:space="preserve">Section township range meridian identifier.</t>
  </si>
  <si>
    <t xml:space="preserve">SEC 14 TWN 1N RNG 11E</t>
  </si>
  <si>
    <r>
      <rPr>
        <b val="true"/>
        <sz val="11"/>
        <color rgb="FF000000"/>
        <rFont val="Arial"/>
        <family val="0"/>
        <charset val="1"/>
      </rPr>
      <t xml:space="preserve">Structures - </t>
    </r>
    <r>
      <rPr>
        <sz val="11"/>
        <color rgb="FF000000"/>
        <rFont val="Arial"/>
        <family val="0"/>
        <charset val="1"/>
      </rPr>
      <t xml:space="preserve">One to one relationship. At most one structure record will be available per FIPS and APN.</t>
    </r>
  </si>
  <si>
    <t xml:space="preserve">year_built</t>
  </si>
  <si>
    <t xml:space="preserve">The year the structure was built.</t>
  </si>
  <si>
    <t xml:space="preserve">effective_year_built</t>
  </si>
  <si>
    <t xml:space="preserve">The year a structure was substantially updated or improved.</t>
  </si>
  <si>
    <t xml:space="preserve">stories</t>
  </si>
  <si>
    <t xml:space="preserve">The number of stories comprising the structure (may include fractional stories and alphabetic codes).</t>
  </si>
  <si>
    <t xml:space="preserve">2+A</t>
  </si>
  <si>
    <t xml:space="preserve">rooms_count</t>
  </si>
  <si>
    <t xml:space="preserve">The total number of rooms in the building (not just bedrooms).</t>
  </si>
  <si>
    <t xml:space="preserve">beds_count</t>
  </si>
  <si>
    <t xml:space="preserve">The number of bedrooms in the building.</t>
  </si>
  <si>
    <t xml:space="preserve">baths</t>
  </si>
  <si>
    <t xml:space="preserve">Fractional number of bathrooms in the building, except when partial_baths_count is nonnull, see below.</t>
  </si>
  <si>
    <t xml:space="preserve">partial_baths_count</t>
  </si>
  <si>
    <t xml:space="preserve">The whole number of partial bathrooms. When this is nonnull, baths above will be a whole number indicating the number of full bathrooms.</t>
  </si>
  <si>
    <t xml:space="preserve">units_count</t>
  </si>
  <si>
    <t xml:space="preserve">Total number of units reported to the county.</t>
  </si>
  <si>
    <t xml:space="preserve">parking_type</t>
  </si>
  <si>
    <t xml:space="preserve">The type of parking available.</t>
  </si>
  <si>
    <t xml:space="preserve">DETACHED GARAGE</t>
  </si>
  <si>
    <t xml:space="preserve">parking_spaces_count</t>
  </si>
  <si>
    <t xml:space="preserve">The total number of available parking spaces; including garage, carport, driveway.</t>
  </si>
  <si>
    <t xml:space="preserve">pool_type</t>
  </si>
  <si>
    <t xml:space="preserve">Type of pool located on the property - shared or private.</t>
  </si>
  <si>
    <t xml:space="preserve">HEATED POOL</t>
  </si>
  <si>
    <t xml:space="preserve">architecture_type</t>
  </si>
  <si>
    <t xml:space="preserve">Style or historical period of the primary structure.</t>
  </si>
  <si>
    <t xml:space="preserve">SPANISH</t>
  </si>
  <si>
    <t xml:space="preserve">construction_type</t>
  </si>
  <si>
    <t xml:space="preserve">Type of material used in construction of the building.</t>
  </si>
  <si>
    <t xml:space="preserve">WOOD</t>
  </si>
  <si>
    <t xml:space="preserve">exterior_wall_type</t>
  </si>
  <si>
    <t xml:space="preserve">Material used for the exterior walls of the building.</t>
  </si>
  <si>
    <t xml:space="preserve">STUCCO</t>
  </si>
  <si>
    <t xml:space="preserve">foundation_type</t>
  </si>
  <si>
    <t xml:space="preserve">The type of material used in the foundation.</t>
  </si>
  <si>
    <t xml:space="preserve">CONCRETE</t>
  </si>
  <si>
    <t xml:space="preserve">roof_material_type</t>
  </si>
  <si>
    <t xml:space="preserve">The material used for the roof of the building.</t>
  </si>
  <si>
    <t xml:space="preserve">ASPHALT</t>
  </si>
  <si>
    <t xml:space="preserve">roof_style_type</t>
  </si>
  <si>
    <t xml:space="preserve">The architectural style for the roof of the building.</t>
  </si>
  <si>
    <t xml:space="preserve">GABLE</t>
  </si>
  <si>
    <t xml:space="preserve">heating_type</t>
  </si>
  <si>
    <t xml:space="preserve">Primary heating type for the building.</t>
  </si>
  <si>
    <t xml:space="preserve">BASEBOARD</t>
  </si>
  <si>
    <t xml:space="preserve">heating_fuel_type</t>
  </si>
  <si>
    <t xml:space="preserve">Type of fuel used to heat the building.</t>
  </si>
  <si>
    <t xml:space="preserve">GAS</t>
  </si>
  <si>
    <t xml:space="preserve">air_conditioning_type</t>
  </si>
  <si>
    <t xml:space="preserve">Air conditioning type for the building.</t>
  </si>
  <si>
    <t xml:space="preserve">CENTRAL</t>
  </si>
  <si>
    <t xml:space="preserve">fireplaces</t>
  </si>
  <si>
    <t xml:space="preserve">Total number of fireplaces in the building (can also be "YES")</t>
  </si>
  <si>
    <t xml:space="preserve">basement_type</t>
  </si>
  <si>
    <t xml:space="preserve">Basement type for the building.</t>
  </si>
  <si>
    <t xml:space="preserve">FULL BASEMENT</t>
  </si>
  <si>
    <t xml:space="preserve">quality</t>
  </si>
  <si>
    <t xml:space="preserve">The quality of the structure rated from A+ to E+. This grade is determined by the county and is based on numerous, non-standard factors. For example, a mobile home would likely have a lower score than a mansion as the mobile home uses cheaper, lower quality materials and has less features.</t>
  </si>
  <si>
    <t xml:space="preserve">A+</t>
  </si>
  <si>
    <t xml:space="preserve">condition</t>
  </si>
  <si>
    <t xml:space="preserve">Current condition of the structure provided by the county. This relates to things like whether or not there is visible wear on the structure (e.g. chipped paint, siding falling off). The method for determining this varies across counties.</t>
  </si>
  <si>
    <t xml:space="preserve">FAIR</t>
  </si>
  <si>
    <t xml:space="preserve">flooring_types</t>
  </si>
  <si>
    <t xml:space="preserve">Type of flooring used in improvements in the building.</t>
  </si>
  <si>
    <t xml:space="preserve">CARPET, MARBLE</t>
  </si>
  <si>
    <t xml:space="preserve">plumbing_fixtures_count</t>
  </si>
  <si>
    <t xml:space="preserve">Total number of all plumbing fixtures in the building.</t>
  </si>
  <si>
    <t xml:space="preserve">interior_wall_type</t>
  </si>
  <si>
    <t xml:space="preserve">The type of material used for the interior walls.</t>
  </si>
  <si>
    <t xml:space="preserve">PLASTER</t>
  </si>
  <si>
    <t xml:space="preserve">water_type</t>
  </si>
  <si>
    <t xml:space="preserve">The water system for the property.</t>
  </si>
  <si>
    <t xml:space="preserve">MUNICIPAL</t>
  </si>
  <si>
    <t xml:space="preserve">sewer_type</t>
  </si>
  <si>
    <t xml:space="preserve">The waste disposal/sewage system for the property.</t>
  </si>
  <si>
    <t xml:space="preserve">SEPTIC</t>
  </si>
  <si>
    <t xml:space="preserve">total_area_sq_ft</t>
  </si>
  <si>
    <t xml:space="preserve">Total livable square footage of the structure.</t>
  </si>
  <si>
    <t xml:space="preserve">other_rooms</t>
  </si>
  <si>
    <t xml:space="preserve">List of other rooms within the building.</t>
  </si>
  <si>
    <t xml:space="preserve">LAUNDRY ROOM, HOME OFFICE</t>
  </si>
  <si>
    <t xml:space="preserve">amenities</t>
  </si>
  <si>
    <t xml:space="preserve">List of amenities included in the property.</t>
  </si>
  <si>
    <t xml:space="preserve">WINE CELLAR, TENNIS COURT</t>
  </si>
  <si>
    <r>
      <rPr>
        <b val="true"/>
        <sz val="11"/>
        <color rgb="FF000000"/>
        <rFont val="Arial"/>
        <family val="0"/>
        <charset val="1"/>
      </rPr>
      <t xml:space="preserve">Other Areas - </t>
    </r>
    <r>
      <rPr>
        <sz val="11"/>
        <color rgb="FF000000"/>
        <rFont val="Arial"/>
        <family val="0"/>
        <charset val="1"/>
      </rPr>
      <t xml:space="preserve">One to many relationship. There can be many areas available per FIPS and APN.</t>
    </r>
  </si>
  <si>
    <t xml:space="preserve">area_type</t>
  </si>
  <si>
    <t xml:space="preserve">A description of the area.</t>
  </si>
  <si>
    <t xml:space="preserve">1ST FLOOR</t>
  </si>
  <si>
    <t xml:space="preserve">The integer area size in square feet.</t>
  </si>
  <si>
    <r>
      <rPr>
        <b val="true"/>
        <sz val="11"/>
        <color rgb="FF000000"/>
        <rFont val="Arial"/>
        <family val="0"/>
        <charset val="1"/>
      </rPr>
      <t xml:space="preserve">Other Features - </t>
    </r>
    <r>
      <rPr>
        <sz val="11"/>
        <color rgb="FF000000"/>
        <rFont val="Arial"/>
        <family val="0"/>
        <charset val="1"/>
      </rPr>
      <t xml:space="preserve">One to many relationship. There can be many features available per FIPS and APN.</t>
    </r>
  </si>
  <si>
    <t xml:space="preserve">feature_type</t>
  </si>
  <si>
    <t xml:space="preserve">DRIVEWAY</t>
  </si>
  <si>
    <t xml:space="preserve">feature_sq_ft</t>
  </si>
  <si>
    <t xml:space="preserve">The area size in square feet. May hold an integer, float, or rectangle (e.g. "24X16").</t>
  </si>
  <si>
    <r>
      <rPr>
        <b val="true"/>
        <sz val="11"/>
        <color rgb="FF000000"/>
        <rFont val="Arial"/>
        <family val="0"/>
        <charset val="1"/>
      </rPr>
      <t xml:space="preserve">Other Improvements - </t>
    </r>
    <r>
      <rPr>
        <sz val="11"/>
        <color rgb="FF000000"/>
        <rFont val="Arial"/>
        <family val="0"/>
        <charset val="1"/>
      </rPr>
      <t xml:space="preserve">One to many relationship. There can be many improvments available per FIPS and APN.</t>
    </r>
  </si>
  <si>
    <t xml:space="preserve">impr_type</t>
  </si>
  <si>
    <t xml:space="preserve">GREENHOUSE</t>
  </si>
  <si>
    <t xml:space="preserve">impr_sq_ft</t>
  </si>
  <si>
    <r>
      <rPr>
        <b val="true"/>
        <sz val="11"/>
        <color rgb="FF000000"/>
        <rFont val="Arial"/>
        <family val="0"/>
        <charset val="1"/>
      </rPr>
      <t xml:space="preserve">Taxes - </t>
    </r>
    <r>
      <rPr>
        <sz val="11"/>
        <color rgb="FF000000"/>
        <rFont val="Arial"/>
        <family val="0"/>
        <charset val="1"/>
      </rPr>
      <t xml:space="preserve">One to many relationship, but currently only one year of information is available per FIPS and APN.</t>
    </r>
  </si>
  <si>
    <t xml:space="preserve">year</t>
  </si>
  <si>
    <t xml:space="preserve">int [YYYY]</t>
  </si>
  <si>
    <t xml:space="preserve">The year the tax was levied.</t>
  </si>
  <si>
    <t xml:space="preserve">amount</t>
  </si>
  <si>
    <t xml:space="preserve">The amount of tax on the property in dollars.</t>
  </si>
  <si>
    <t xml:space="preserve">exemptions</t>
  </si>
  <si>
    <t xml:space="preserve">List of exemptions.</t>
  </si>
  <si>
    <t xml:space="preserve">AGRICULTURAL, LOW INCOME</t>
  </si>
  <si>
    <t xml:space="preserve">rate_code_area</t>
  </si>
  <si>
    <t xml:space="preserve">Represents separate tax jurisdictions within the county as provided on the county tax/assessment roll.</t>
  </si>
  <si>
    <t xml:space="preserve">01H</t>
  </si>
  <si>
    <r>
      <rPr>
        <b val="true"/>
        <sz val="11"/>
        <color rgb="FF000000"/>
        <rFont val="Arial"/>
        <family val="0"/>
        <charset val="1"/>
      </rPr>
      <t xml:space="preserve">Assessments - </t>
    </r>
    <r>
      <rPr>
        <sz val="11"/>
        <color rgb="FF000000"/>
        <rFont val="Arial"/>
        <family val="0"/>
        <charset val="1"/>
      </rPr>
      <t xml:space="preserve">One to many relationship, currently up to 3 years historical assessment records are available per FIPS and APN.</t>
    </r>
  </si>
  <si>
    <t xml:space="preserve">The year the assessment was performed.</t>
  </si>
  <si>
    <t xml:space="preserve">land_value</t>
  </si>
  <si>
    <t xml:space="preserve">The current assessed land value before any exemptions in dollars.</t>
  </si>
  <si>
    <t xml:space="preserve">improvement_value</t>
  </si>
  <si>
    <t xml:space="preserve">The current assessed improvement value before any exemptions in dollars.</t>
  </si>
  <si>
    <t xml:space="preserve">total_value</t>
  </si>
  <si>
    <t xml:space="preserve">The total current assessed value of both land and improvements before any exemptions in dollars.</t>
  </si>
  <si>
    <r>
      <rPr>
        <b val="true"/>
        <sz val="11"/>
        <color rgb="FF000000"/>
        <rFont val="Arial"/>
        <family val="0"/>
        <charset val="1"/>
      </rPr>
      <t xml:space="preserve">Market Assessments - </t>
    </r>
    <r>
      <rPr>
        <sz val="11"/>
        <color rgb="FF000000"/>
        <rFont val="Arial"/>
        <family val="0"/>
        <charset val="1"/>
      </rPr>
      <t xml:space="preserve">One to many relationship, but currently only one year of information is available per FIPS and APN.</t>
    </r>
  </si>
  <si>
    <t xml:space="preserve">The year the market assessment was performed.</t>
  </si>
  <si>
    <t xml:space="preserve">The market land value as determined by the assessor.</t>
  </si>
  <si>
    <t xml:space="preserve">The market improvement value as determined by the assessor.</t>
  </si>
  <si>
    <t xml:space="preserve">The total market value as determined by the assessor.</t>
  </si>
  <si>
    <r>
      <rPr>
        <b val="true"/>
        <sz val="11"/>
        <color rgb="FF000000"/>
        <rFont val="Arial"/>
        <family val="0"/>
        <charset val="1"/>
      </rPr>
      <t xml:space="preserve">Owners - </t>
    </r>
    <r>
      <rPr>
        <sz val="11"/>
        <color rgb="FF000000"/>
        <rFont val="Arial"/>
        <family val="0"/>
        <charset val="1"/>
      </rPr>
      <t xml:space="preserve">One to one relationship. At most one owner record will be available per FIPS and APN. Describes the current owner(s).</t>
    </r>
  </si>
  <si>
    <t xml:space="preserve">name</t>
  </si>
  <si>
    <t xml:space="preserve">Assessed owner names.</t>
  </si>
  <si>
    <t xml:space="preserve">SMITH, JOHN; SMITH, JANE or "SMITH JOHN &amp; JANE"</t>
  </si>
  <si>
    <t xml:space="preserve">The address where the current tax bill is mailed (not including unit).</t>
  </si>
  <si>
    <t xml:space="preserve">123 MAIN ST</t>
  </si>
  <si>
    <t xml:space="preserve">The unit type.</t>
  </si>
  <si>
    <t xml:space="preserve">The unit number.</t>
  </si>
  <si>
    <t xml:space="preserve">The city where the current tax bill is mailed. In the case it is out of USA, the county will also be located here.</t>
  </si>
  <si>
    <t xml:space="preserve">ATLANTA</t>
  </si>
  <si>
    <t xml:space="preserve">The state abbreviation where the current tax bill is mailed; XX for out of country addresses.</t>
  </si>
  <si>
    <t xml:space="preserve">GA</t>
  </si>
  <si>
    <t xml:space="preserve">The zip code where the current tax bill is mailed.</t>
  </si>
  <si>
    <t xml:space="preserve">Four digit postal zip extension for where the tax bill is mailed.</t>
  </si>
  <si>
    <t xml:space="preserve">owner_occupied</t>
  </si>
  <si>
    <t xml:space="preserve">Description of the owner occupancy. Can be "YES" or "PROBABLE". Data not available if null.</t>
  </si>
  <si>
    <t xml:space="preserve">YES</t>
  </si>
  <si>
    <t xml:space="preserve">Estated Data Dictionary - Recorder File</t>
  </si>
  <si>
    <r>
      <rPr>
        <b val="true"/>
        <sz val="11"/>
        <color rgb="FF000000"/>
        <rFont val="Arial"/>
        <family val="0"/>
        <charset val="1"/>
      </rPr>
      <t xml:space="preserve">Deeds - </t>
    </r>
    <r>
      <rPr>
        <sz val="11"/>
        <color rgb="FF000000"/>
        <rFont val="Arial"/>
        <family val="0"/>
        <charset val="1"/>
      </rPr>
      <t xml:space="preserve">One to many relationship, currently up to 40 years historical deeds records are available per FIPS and APN.</t>
    </r>
  </si>
  <si>
    <t xml:space="preserve">document_type</t>
  </si>
  <si>
    <t xml:space="preserve">Type of deed document.</t>
  </si>
  <si>
    <t xml:space="preserve">WARRANTY DEED</t>
  </si>
  <si>
    <t xml:space="preserve">recording_date</t>
  </si>
  <si>
    <t xml:space="preserve">The official date the document was recorded.</t>
  </si>
  <si>
    <t xml:space="preserve">original_contract_date</t>
  </si>
  <si>
    <t xml:space="preserve">The date the original contract was signed by the relevant parties. In some scenarios this may be the date of notarization.</t>
  </si>
  <si>
    <t xml:space="preserve">deed_book</t>
  </si>
  <si>
    <t xml:space="preserve">The physical book where the deed was recorded.</t>
  </si>
  <si>
    <t xml:space="preserve">deed_page</t>
  </si>
  <si>
    <t xml:space="preserve">The physical page where the deed was recorded.</t>
  </si>
  <si>
    <t xml:space="preserve">document_id</t>
  </si>
  <si>
    <t xml:space="preserve">Identifier assigned to document at the recording date.</t>
  </si>
  <si>
    <t xml:space="preserve">93154L</t>
  </si>
  <si>
    <t xml:space="preserve">sale_price</t>
  </si>
  <si>
    <t xml:space="preserve">The total sale price in dollars.</t>
  </si>
  <si>
    <t xml:space="preserve">sale_price_description</t>
  </si>
  <si>
    <t xml:space="preserve">A description of the sale.</t>
  </si>
  <si>
    <t xml:space="preserve">ESTIMATED</t>
  </si>
  <si>
    <t xml:space="preserve">transfer_tax</t>
  </si>
  <si>
    <t xml:space="preserve">The tax amount levied by the city, county, or a combination thereof.</t>
  </si>
  <si>
    <t xml:space="preserve">distressed_sale</t>
  </si>
  <si>
    <t xml:space="preserve">boolean</t>
  </si>
  <si>
    <t xml:space="preserve">An indicator to determine if the sale was deemed to be distressed.</t>
  </si>
  <si>
    <t xml:space="preserve">real_estate_owned</t>
  </si>
  <si>
    <t xml:space="preserve">An indicator used to determine the status of the transfer.</t>
  </si>
  <si>
    <t xml:space="preserve">NO</t>
  </si>
  <si>
    <t xml:space="preserve">seller_first_name</t>
  </si>
  <si>
    <t xml:space="preserve">Seller first name, or null if corporate owner.</t>
  </si>
  <si>
    <t xml:space="preserve">JOHN</t>
  </si>
  <si>
    <t xml:space="preserve">seller_last_name</t>
  </si>
  <si>
    <t xml:space="preserve">Seller last name, or corporate name.</t>
  </si>
  <si>
    <t xml:space="preserve">SMITH</t>
  </si>
  <si>
    <t xml:space="preserve">seller2_first_name</t>
  </si>
  <si>
    <t xml:space="preserve">The second seller first name, or null if corporate owner.</t>
  </si>
  <si>
    <t xml:space="preserve">JANE</t>
  </si>
  <si>
    <t xml:space="preserve">seller2_last_name</t>
  </si>
  <si>
    <t xml:space="preserve">The second seller last name, or corporate name.</t>
  </si>
  <si>
    <t xml:space="preserve">seller_address</t>
  </si>
  <si>
    <t xml:space="preserve">The seller mailing address.</t>
  </si>
  <si>
    <t xml:space="preserve">seller_unit_number</t>
  </si>
  <si>
    <t xml:space="preserve">The seller unit number.</t>
  </si>
  <si>
    <t xml:space="preserve">seller_city</t>
  </si>
  <si>
    <t xml:space="preserve">The seller city.</t>
  </si>
  <si>
    <t xml:space="preserve">PHOENIX</t>
  </si>
  <si>
    <t xml:space="preserve">seller_state</t>
  </si>
  <si>
    <t xml:space="preserve">The seller mailing state.</t>
  </si>
  <si>
    <t xml:space="preserve">AZ</t>
  </si>
  <si>
    <t xml:space="preserve">seller_zip_code</t>
  </si>
  <si>
    <t xml:space="preserve">Seller zip code.</t>
  </si>
  <si>
    <t xml:space="preserve">seller_zip_plus_four_code</t>
  </si>
  <si>
    <t xml:space="preserve">Seller four digit postal zip extension.</t>
  </si>
  <si>
    <t xml:space="preserve">buyer_first_name</t>
  </si>
  <si>
    <t xml:space="preserve">Buyer first name, or null if corporate owner.</t>
  </si>
  <si>
    <t xml:space="preserve">buyer_last_name</t>
  </si>
  <si>
    <t xml:space="preserve">Buyer last name, or corporate name.</t>
  </si>
  <si>
    <t xml:space="preserve">buyer2_first_name</t>
  </si>
  <si>
    <t xml:space="preserve">Second buyer first name, or null if corporate owner.</t>
  </si>
  <si>
    <t xml:space="preserve">buyer2_last_name</t>
  </si>
  <si>
    <t xml:space="preserve">Second buyer last name, or corporate name.</t>
  </si>
  <si>
    <t xml:space="preserve">buyer_address</t>
  </si>
  <si>
    <t xml:space="preserve">Buyer mailing address.</t>
  </si>
  <si>
    <t xml:space="preserve">buyer_unit_type</t>
  </si>
  <si>
    <t xml:space="preserve">Buyer unit type.</t>
  </si>
  <si>
    <t xml:space="preserve">buyer_unit_number</t>
  </si>
  <si>
    <t xml:space="preserve">Buyer unit number.</t>
  </si>
  <si>
    <t xml:space="preserve">1A</t>
  </si>
  <si>
    <t xml:space="preserve">buyer_city</t>
  </si>
  <si>
    <t xml:space="preserve">Buyer mailing city.</t>
  </si>
  <si>
    <t xml:space="preserve">DENVER</t>
  </si>
  <si>
    <t xml:space="preserve">buyer_state</t>
  </si>
  <si>
    <t xml:space="preserve">Buyer mailing state.</t>
  </si>
  <si>
    <t xml:space="preserve">CO</t>
  </si>
  <si>
    <t xml:space="preserve">buyer_zip_code</t>
  </si>
  <si>
    <t xml:space="preserve">Buyer mailing zip code.</t>
  </si>
  <si>
    <t xml:space="preserve">buyer_zip_plus_four_code</t>
  </si>
  <si>
    <t xml:space="preserve">Buyer four digit postal zip extension.</t>
  </si>
  <si>
    <t xml:space="preserve">lender_name</t>
  </si>
  <si>
    <t xml:space="preserve">Mortgage lender.</t>
  </si>
  <si>
    <t xml:space="preserve">CITIMORTGAGE INC</t>
  </si>
  <si>
    <t xml:space="preserve">lender_type</t>
  </si>
  <si>
    <t xml:space="preserve">The type of lender.</t>
  </si>
  <si>
    <t xml:space="preserve">BANK</t>
  </si>
  <si>
    <t xml:space="preserve">loan_amount</t>
  </si>
  <si>
    <t xml:space="preserve">Mortgage recorded in dollars.</t>
  </si>
  <si>
    <t xml:space="preserve">loan_type</t>
  </si>
  <si>
    <t xml:space="preserve">Type of loan security.</t>
  </si>
  <si>
    <t xml:space="preserve">CLOSED MORTGAGE</t>
  </si>
  <si>
    <t xml:space="preserve">loan_due_date</t>
  </si>
  <si>
    <t xml:space="preserve">The date the mortgage will be paid in full.</t>
  </si>
  <si>
    <t xml:space="preserve">loan_finance_type</t>
  </si>
  <si>
    <t xml:space="preserve">The interest rate type on the loan.</t>
  </si>
  <si>
    <t xml:space="preserve">FIXED RATE</t>
  </si>
  <si>
    <t xml:space="preserve">loan_interest_rate</t>
  </si>
  <si>
    <t xml:space="preserve">The interest rate of the loan.</t>
  </si>
  <si>
    <t xml:space="preserve">Estated Data Dictionary - AVM File</t>
  </si>
  <si>
    <r>
      <rPr>
        <b val="true"/>
        <sz val="11"/>
        <color rgb="FF000000"/>
        <rFont val="Arial"/>
        <family val="0"/>
        <charset val="1"/>
      </rPr>
      <t xml:space="preserve">Valuations - </t>
    </r>
    <r>
      <rPr>
        <sz val="11"/>
        <color rgb="FF000000"/>
        <rFont val="Arial"/>
        <family val="0"/>
        <charset val="1"/>
      </rPr>
      <t xml:space="preserve">One to one relationship. At most one valuation record will be available per FIPS and APN. Describes the current market value.</t>
    </r>
  </si>
  <si>
    <t xml:space="preserve">value</t>
  </si>
  <si>
    <t xml:space="preserve">The current property value.</t>
  </si>
  <si>
    <t xml:space="preserve">high</t>
  </si>
  <si>
    <t xml:space="preserve">The highest probable value.</t>
  </si>
  <si>
    <t xml:space="preserve">low</t>
  </si>
  <si>
    <t xml:space="preserve">The lowest probable value.</t>
  </si>
  <si>
    <t xml:space="preserve">forecast_standard_deviation</t>
  </si>
  <si>
    <t xml:space="preserve">integer [percentage 0-100]</t>
  </si>
  <si>
    <t xml:space="preserve">Forecast standard deviation.</t>
  </si>
  <si>
    <t xml:space="preserve">date</t>
  </si>
  <si>
    <t xml:space="preserve">The date the valuation was performed.</t>
  </si>
  <si>
    <t xml:space="preserve">Estated Data Dictionary - Boundaries File</t>
  </si>
  <si>
    <r>
      <rPr>
        <b val="true"/>
        <sz val="11"/>
        <color rgb="FF000000"/>
        <rFont val="Arial"/>
        <family val="0"/>
        <charset val="1"/>
      </rPr>
      <t xml:space="preserve">Boundaries - </t>
    </r>
    <r>
      <rPr>
        <sz val="11"/>
        <color rgb="FF000000"/>
        <rFont val="Arial"/>
        <family val="0"/>
        <charset val="1"/>
      </rPr>
      <t xml:space="preserve">One to one relationship. At most one boundary record will be available per FIPS and APN.</t>
    </r>
  </si>
  <si>
    <t xml:space="preserve">wkt</t>
  </si>
  <si>
    <t xml:space="preserve">The Well-Known Text representation of the boundary as a multipolygon. For use with GIS software.</t>
  </si>
  <si>
    <t xml:space="preserve">MULTIPOLYGON(((-118.411878047165 34.0637046806817,
-118.412260122276 34.0634423005473,
-118.41251227665 34.0636965807119,
-118.412130201169 34.063958961647,
-118.411878047165 34.0637046806817)))</t>
  </si>
  <si>
    <t xml:space="preserve">Component</t>
  </si>
  <si>
    <t xml:space="preserve">Value</t>
  </si>
  <si>
    <t xml:space="preserve">address</t>
  </si>
  <si>
    <t xml:space="preserve">Directionals</t>
  </si>
  <si>
    <t xml:space="preserve">W</t>
  </si>
  <si>
    <t xml:space="preserve">S</t>
  </si>
  <si>
    <t xml:space="preserve">E</t>
  </si>
  <si>
    <t xml:space="preserve">NW</t>
  </si>
  <si>
    <t xml:space="preserve">NE</t>
  </si>
  <si>
    <t xml:space="preserve">SE</t>
  </si>
  <si>
    <t xml:space="preserve">ALY</t>
  </si>
  <si>
    <t xml:space="preserve">ANX</t>
  </si>
  <si>
    <t xml:space="preserve">ARC</t>
  </si>
  <si>
    <t xml:space="preserve">AVE</t>
  </si>
  <si>
    <t xml:space="preserve">BCH</t>
  </si>
  <si>
    <t xml:space="preserve">BG</t>
  </si>
  <si>
    <t xml:space="preserve">BGS</t>
  </si>
  <si>
    <t xml:space="preserve">BLF</t>
  </si>
  <si>
    <t xml:space="preserve">BLFS</t>
  </si>
  <si>
    <t xml:space="preserve">BLVD</t>
  </si>
  <si>
    <t xml:space="preserve">BND</t>
  </si>
  <si>
    <t xml:space="preserve">BR</t>
  </si>
  <si>
    <t xml:space="preserve">BRG</t>
  </si>
  <si>
    <t xml:space="preserve">BRK</t>
  </si>
  <si>
    <t xml:space="preserve">BRKS</t>
  </si>
  <si>
    <t xml:space="preserve">BTM</t>
  </si>
  <si>
    <t xml:space="preserve">BYP</t>
  </si>
  <si>
    <t xml:space="preserve">BYU</t>
  </si>
  <si>
    <t xml:space="preserve">CAM</t>
  </si>
  <si>
    <t xml:space="preserve">CER</t>
  </si>
  <si>
    <t xml:space="preserve">CIR</t>
  </si>
  <si>
    <t xml:space="preserve">CIRS</t>
  </si>
  <si>
    <t xml:space="preserve">CLB</t>
  </si>
  <si>
    <t xml:space="preserve">CLF</t>
  </si>
  <si>
    <t xml:space="preserve">CLFS</t>
  </si>
  <si>
    <t xml:space="preserve">CLL</t>
  </si>
  <si>
    <t xml:space="preserve">CMN</t>
  </si>
  <si>
    <t xml:space="preserve">CMNS</t>
  </si>
  <si>
    <t xml:space="preserve">CMT</t>
  </si>
  <si>
    <t xml:space="preserve">COR</t>
  </si>
  <si>
    <t xml:space="preserve">CORS</t>
  </si>
  <si>
    <t xml:space="preserve">CP</t>
  </si>
  <si>
    <t xml:space="preserve">CPE</t>
  </si>
  <si>
    <t xml:space="preserve">CRES</t>
  </si>
  <si>
    <t xml:space="preserve">CRK</t>
  </si>
  <si>
    <t xml:space="preserve">CRSE</t>
  </si>
  <si>
    <t xml:space="preserve">CRST</t>
  </si>
  <si>
    <t xml:space="preserve">CSWY</t>
  </si>
  <si>
    <t xml:space="preserve">CT</t>
  </si>
  <si>
    <t xml:space="preserve">CTR</t>
  </si>
  <si>
    <t xml:space="preserve">CTRS</t>
  </si>
  <si>
    <t xml:space="preserve">CTS</t>
  </si>
  <si>
    <t xml:space="preserve">CURV</t>
  </si>
  <si>
    <t xml:space="preserve">CV</t>
  </si>
  <si>
    <t xml:space="preserve">CVS</t>
  </si>
  <si>
    <t xml:space="preserve">CYN</t>
  </si>
  <si>
    <t xml:space="preserve">DL</t>
  </si>
  <si>
    <t xml:space="preserve">DM</t>
  </si>
  <si>
    <t xml:space="preserve">DR</t>
  </si>
  <si>
    <t xml:space="preserve">DRS</t>
  </si>
  <si>
    <t xml:space="preserve">DV</t>
  </si>
  <si>
    <t xml:space="preserve">ENT</t>
  </si>
  <si>
    <t xml:space="preserve">EST</t>
  </si>
  <si>
    <t xml:space="preserve">ESTS</t>
  </si>
  <si>
    <t xml:space="preserve">EXPY</t>
  </si>
  <si>
    <t xml:space="preserve">EXT</t>
  </si>
  <si>
    <t xml:space="preserve">EXTS</t>
  </si>
  <si>
    <t xml:space="preserve">FALL</t>
  </si>
  <si>
    <t xml:space="preserve">FLD</t>
  </si>
  <si>
    <t xml:space="preserve">FLDS</t>
  </si>
  <si>
    <t xml:space="preserve">FLS</t>
  </si>
  <si>
    <t xml:space="preserve">FLT</t>
  </si>
  <si>
    <t xml:space="preserve">FLTS</t>
  </si>
  <si>
    <t xml:space="preserve">FRD</t>
  </si>
  <si>
    <t xml:space="preserve">FRDS</t>
  </si>
  <si>
    <t xml:space="preserve">FRG</t>
  </si>
  <si>
    <t xml:space="preserve">FRGS</t>
  </si>
  <si>
    <t xml:space="preserve">FRK</t>
  </si>
  <si>
    <t xml:space="preserve">FRKS</t>
  </si>
  <si>
    <t xml:space="preserve">FRST</t>
  </si>
  <si>
    <t xml:space="preserve">FRY</t>
  </si>
  <si>
    <t xml:space="preserve">FT</t>
  </si>
  <si>
    <t xml:space="preserve">FWY</t>
  </si>
  <si>
    <t xml:space="preserve">GDN</t>
  </si>
  <si>
    <t xml:space="preserve">GDNS</t>
  </si>
  <si>
    <t xml:space="preserve">GLN</t>
  </si>
  <si>
    <t xml:space="preserve">GLNS</t>
  </si>
  <si>
    <t xml:space="preserve">GRN</t>
  </si>
  <si>
    <t xml:space="preserve">GRNS</t>
  </si>
  <si>
    <t xml:space="preserve">GRV</t>
  </si>
  <si>
    <t xml:space="preserve">GRVS</t>
  </si>
  <si>
    <t xml:space="preserve">GTWY</t>
  </si>
  <si>
    <t xml:space="preserve">HBR</t>
  </si>
  <si>
    <t xml:space="preserve">HBRS</t>
  </si>
  <si>
    <t xml:space="preserve">HL</t>
  </si>
  <si>
    <t xml:space="preserve">HLS</t>
  </si>
  <si>
    <t xml:space="preserve">HOLW</t>
  </si>
  <si>
    <t xml:space="preserve">HTS</t>
  </si>
  <si>
    <t xml:space="preserve">HVN</t>
  </si>
  <si>
    <t xml:space="preserve">HWY</t>
  </si>
  <si>
    <t xml:space="preserve">INLT</t>
  </si>
  <si>
    <t xml:space="preserve">IS</t>
  </si>
  <si>
    <t xml:space="preserve">ISLE</t>
  </si>
  <si>
    <t xml:space="preserve">ISS</t>
  </si>
  <si>
    <t xml:space="preserve">JCT</t>
  </si>
  <si>
    <t xml:space="preserve">JCTS</t>
  </si>
  <si>
    <t xml:space="preserve">KNL</t>
  </si>
  <si>
    <t xml:space="preserve">KNLS</t>
  </si>
  <si>
    <t xml:space="preserve">KY</t>
  </si>
  <si>
    <t xml:space="preserve">KYS</t>
  </si>
  <si>
    <t xml:space="preserve">LAND</t>
  </si>
  <si>
    <t xml:space="preserve">LCK</t>
  </si>
  <si>
    <t xml:space="preserve">LCKS</t>
  </si>
  <si>
    <t xml:space="preserve">LDG</t>
  </si>
  <si>
    <t xml:space="preserve">LF</t>
  </si>
  <si>
    <t xml:space="preserve">LGT</t>
  </si>
  <si>
    <t xml:space="preserve">LGTS</t>
  </si>
  <si>
    <t xml:space="preserve">LK</t>
  </si>
  <si>
    <t xml:space="preserve">LKS</t>
  </si>
  <si>
    <t xml:space="preserve">LN</t>
  </si>
  <si>
    <t xml:space="preserve">LNDG</t>
  </si>
  <si>
    <t xml:space="preserve">LOOP</t>
  </si>
  <si>
    <t xml:space="preserve">MALL</t>
  </si>
  <si>
    <t xml:space="preserve">MDW</t>
  </si>
  <si>
    <t xml:space="preserve">MDWS</t>
  </si>
  <si>
    <t xml:space="preserve">MEWS</t>
  </si>
  <si>
    <t xml:space="preserve">MILE</t>
  </si>
  <si>
    <t xml:space="preserve">ML</t>
  </si>
  <si>
    <t xml:space="preserve">MLS</t>
  </si>
  <si>
    <t xml:space="preserve">MNR</t>
  </si>
  <si>
    <t xml:space="preserve">MNRS</t>
  </si>
  <si>
    <t xml:space="preserve">MSN</t>
  </si>
  <si>
    <t xml:space="preserve">MT</t>
  </si>
  <si>
    <t xml:space="preserve">MTN</t>
  </si>
  <si>
    <t xml:space="preserve">MTNS</t>
  </si>
  <si>
    <t xml:space="preserve">MTWY</t>
  </si>
  <si>
    <t xml:space="preserve">NCK</t>
  </si>
  <si>
    <t xml:space="preserve">OPAS</t>
  </si>
  <si>
    <t xml:space="preserve">ORCH</t>
  </si>
  <si>
    <t xml:space="preserve">OVAL</t>
  </si>
  <si>
    <t xml:space="preserve">PARK</t>
  </si>
  <si>
    <t xml:space="preserve">PASS</t>
  </si>
  <si>
    <t xml:space="preserve">PATH</t>
  </si>
  <si>
    <t xml:space="preserve">PIKE</t>
  </si>
  <si>
    <t xml:space="preserve">PKWY</t>
  </si>
  <si>
    <t xml:space="preserve">PL</t>
  </si>
  <si>
    <t xml:space="preserve">PLA</t>
  </si>
  <si>
    <t xml:space="preserve">PLN</t>
  </si>
  <si>
    <t xml:space="preserve">PLNS</t>
  </si>
  <si>
    <t xml:space="preserve">PLZ</t>
  </si>
  <si>
    <t xml:space="preserve">PNE</t>
  </si>
  <si>
    <t xml:space="preserve">PNES</t>
  </si>
  <si>
    <t xml:space="preserve">PR</t>
  </si>
  <si>
    <t xml:space="preserve">PRT</t>
  </si>
  <si>
    <t xml:space="preserve">PRTS</t>
  </si>
  <si>
    <t xml:space="preserve">PSGE</t>
  </si>
  <si>
    <t xml:space="preserve">PSO</t>
  </si>
  <si>
    <t xml:space="preserve">PT</t>
  </si>
  <si>
    <t xml:space="preserve">PTS</t>
  </si>
  <si>
    <t xml:space="preserve">RADL</t>
  </si>
  <si>
    <t xml:space="preserve">RCH</t>
  </si>
  <si>
    <t xml:space="preserve">RAMP</t>
  </si>
  <si>
    <t xml:space="preserve">RD</t>
  </si>
  <si>
    <t xml:space="preserve">RDG</t>
  </si>
  <si>
    <t xml:space="preserve">RDGS</t>
  </si>
  <si>
    <t xml:space="preserve">RDS</t>
  </si>
  <si>
    <t xml:space="preserve">RIV</t>
  </si>
  <si>
    <t xml:space="preserve">RNCH</t>
  </si>
  <si>
    <t xml:space="preserve">ROW</t>
  </si>
  <si>
    <t xml:space="preserve">RPD</t>
  </si>
  <si>
    <t xml:space="preserve">RPDS</t>
  </si>
  <si>
    <t xml:space="preserve">RST</t>
  </si>
  <si>
    <t xml:space="preserve">RTE</t>
  </si>
  <si>
    <t xml:space="preserve">RUE</t>
  </si>
  <si>
    <t xml:space="preserve">RUN</t>
  </si>
  <si>
    <t xml:space="preserve">SHL</t>
  </si>
  <si>
    <t xml:space="preserve">SHLS</t>
  </si>
  <si>
    <t xml:space="preserve">SHR</t>
  </si>
  <si>
    <t xml:space="preserve">SHRS</t>
  </si>
  <si>
    <t xml:space="preserve">SKWY</t>
  </si>
  <si>
    <t xml:space="preserve">SMT</t>
  </si>
  <si>
    <t xml:space="preserve">SPG</t>
  </si>
  <si>
    <t xml:space="preserve">SPGS</t>
  </si>
  <si>
    <t xml:space="preserve">SPUR</t>
  </si>
  <si>
    <t xml:space="preserve">SQ</t>
  </si>
  <si>
    <t xml:space="preserve">SQS</t>
  </si>
  <si>
    <t xml:space="preserve">STA</t>
  </si>
  <si>
    <t xml:space="preserve">STRA</t>
  </si>
  <si>
    <t xml:space="preserve">STRM</t>
  </si>
  <si>
    <t xml:space="preserve">STS</t>
  </si>
  <si>
    <t xml:space="preserve">TER</t>
  </si>
  <si>
    <t xml:space="preserve">TPKE</t>
  </si>
  <si>
    <t xml:space="preserve">TRAK</t>
  </si>
  <si>
    <t xml:space="preserve">TRCE</t>
  </si>
  <si>
    <t xml:space="preserve">TRFY</t>
  </si>
  <si>
    <t xml:space="preserve">TRL</t>
  </si>
  <si>
    <t xml:space="preserve">TRLR</t>
  </si>
  <si>
    <t xml:space="preserve">TRWY</t>
  </si>
  <si>
    <t xml:space="preserve">TUNL</t>
  </si>
  <si>
    <t xml:space="preserve">UN</t>
  </si>
  <si>
    <t xml:space="preserve">UNS</t>
  </si>
  <si>
    <t xml:space="preserve">UPAS</t>
  </si>
  <si>
    <t xml:space="preserve">VER</t>
  </si>
  <si>
    <t xml:space="preserve">VIA</t>
  </si>
  <si>
    <t xml:space="preserve">VIS</t>
  </si>
  <si>
    <t xml:space="preserve">VL</t>
  </si>
  <si>
    <t xml:space="preserve">VLG</t>
  </si>
  <si>
    <t xml:space="preserve">VLGS</t>
  </si>
  <si>
    <t xml:space="preserve">VLY</t>
  </si>
  <si>
    <t xml:space="preserve">VLYS</t>
  </si>
  <si>
    <t xml:space="preserve">VW</t>
  </si>
  <si>
    <t xml:space="preserve">VWS</t>
  </si>
  <si>
    <t xml:space="preserve">WALK</t>
  </si>
  <si>
    <t xml:space="preserve">WALL</t>
  </si>
  <si>
    <t xml:space="preserve">WAY</t>
  </si>
  <si>
    <t xml:space="preserve">WAYS</t>
  </si>
  <si>
    <t xml:space="preserve">WL</t>
  </si>
  <si>
    <t xml:space="preserve">WLS</t>
  </si>
  <si>
    <t xml:space="preserve">XING</t>
  </si>
  <si>
    <t xml:space="preserve">XRD</t>
  </si>
  <si>
    <t xml:space="preserve">XRDS</t>
  </si>
  <si>
    <t xml:space="preserve">BLDG</t>
  </si>
  <si>
    <t xml:space="preserve">BSMT</t>
  </si>
  <si>
    <t xml:space="preserve">DEPT</t>
  </si>
  <si>
    <t xml:space="preserve">FL</t>
  </si>
  <si>
    <t xml:space="preserve">FRNT</t>
  </si>
  <si>
    <t xml:space="preserve">HNGR</t>
  </si>
  <si>
    <t xml:space="preserve">LBBY</t>
  </si>
  <si>
    <t xml:space="preserve">LOT</t>
  </si>
  <si>
    <t xml:space="preserve">LOWR</t>
  </si>
  <si>
    <t xml:space="preserve">OFC</t>
  </si>
  <si>
    <t xml:space="preserve">PH</t>
  </si>
  <si>
    <t xml:space="preserve">PIER</t>
  </si>
  <si>
    <t xml:space="preserve">REAR</t>
  </si>
  <si>
    <t xml:space="preserve">RM</t>
  </si>
  <si>
    <t xml:space="preserve">SIDE</t>
  </si>
  <si>
    <t xml:space="preserve">SLIP</t>
  </si>
  <si>
    <t xml:space="preserve">SPC</t>
  </si>
  <si>
    <t xml:space="preserve">STE</t>
  </si>
  <si>
    <t xml:space="preserve">STOP</t>
  </si>
  <si>
    <t xml:space="preserve">UNIT</t>
  </si>
  <si>
    <t xml:space="preserve">UPPR</t>
  </si>
  <si>
    <t xml:space="preserve">#</t>
  </si>
  <si>
    <t xml:space="preserve">Street</t>
  </si>
  <si>
    <t xml:space="preserve">ZIP+4</t>
  </si>
  <si>
    <t xml:space="preserve">ZIP+2</t>
  </si>
  <si>
    <t xml:space="preserve">ZIP</t>
  </si>
  <si>
    <t xml:space="preserve">Block Group</t>
  </si>
  <si>
    <t xml:space="preserve">Parcel Centroid</t>
  </si>
  <si>
    <t xml:space="preserve">Parcel</t>
  </si>
  <si>
    <t xml:space="preserve">Census Tract</t>
  </si>
  <si>
    <t xml:space="preserve">County</t>
  </si>
  <si>
    <t xml:space="preserve">Structure</t>
  </si>
  <si>
    <t xml:space="preserve">parcel</t>
  </si>
  <si>
    <t xml:space="preserve">Other</t>
  </si>
  <si>
    <t xml:space="preserve">Personal Property</t>
  </si>
  <si>
    <t xml:space="preserve">Residential</t>
  </si>
  <si>
    <t xml:space="preserve">Multi-family Residential</t>
  </si>
  <si>
    <t xml:space="preserve">Misc. Residential</t>
  </si>
  <si>
    <t xml:space="preserve">Commercial</t>
  </si>
  <si>
    <t xml:space="preserve">Recreational</t>
  </si>
  <si>
    <t xml:space="preserve">Industrial</t>
  </si>
  <si>
    <t xml:space="preserve">Heavy Industrial</t>
  </si>
  <si>
    <t xml:space="preserve">Transportation and Communications</t>
  </si>
  <si>
    <t xml:space="preserve">Agricultural and Rural</t>
  </si>
  <si>
    <t xml:space="preserve">Vacant Land</t>
  </si>
  <si>
    <t xml:space="preserve">Special Purpose</t>
  </si>
  <si>
    <t xml:space="preserve">Exempt</t>
  </si>
  <si>
    <t xml:space="preserve">Institutional</t>
  </si>
  <si>
    <t xml:space="preserve">Governmental and Public Use</t>
  </si>
  <si>
    <t xml:space="preserve">Historical</t>
  </si>
  <si>
    <t xml:space="preserve">Misc.</t>
  </si>
  <si>
    <t xml:space="preserve">Pipeline</t>
  </si>
  <si>
    <t xml:space="preserve">Rail</t>
  </si>
  <si>
    <t xml:space="preserve">Road</t>
  </si>
  <si>
    <t xml:space="preserve">Utility Right-of-Way</t>
  </si>
  <si>
    <t xml:space="preserve">Sub-Surface Rights</t>
  </si>
  <si>
    <t xml:space="preserve">Surface Rights</t>
  </si>
  <si>
    <t xml:space="preserve">Leasehold Rights</t>
  </si>
  <si>
    <t xml:space="preserve">Possessory Interest</t>
  </si>
  <si>
    <t xml:space="preserve">Petroleum and Gas Wells</t>
  </si>
  <si>
    <t xml:space="preserve">Water Rights</t>
  </si>
  <si>
    <t xml:space="preserve">Right-of-Way</t>
  </si>
  <si>
    <t xml:space="preserve">Easement</t>
  </si>
  <si>
    <t xml:space="preserve">Homestead</t>
  </si>
  <si>
    <t xml:space="preserve">Common Area</t>
  </si>
  <si>
    <t xml:space="preserve">Royalty Interest</t>
  </si>
  <si>
    <t xml:space="preserve">Working Interest</t>
  </si>
  <si>
    <t xml:space="preserve">Parcels with improvements</t>
  </si>
  <si>
    <t xml:space="preserve">Vehicles</t>
  </si>
  <si>
    <t xml:space="preserve">Motor Vehicles</t>
  </si>
  <si>
    <t xml:space="preserve">Recreational Vehicles or Travel Trailers</t>
  </si>
  <si>
    <t xml:space="preserve">Watercraft</t>
  </si>
  <si>
    <t xml:space="preserve">Aircraft</t>
  </si>
  <si>
    <t xml:space="preserve">Rolling Stock</t>
  </si>
  <si>
    <t xml:space="preserve">Spacecraft</t>
  </si>
  <si>
    <t xml:space="preserve">Unclassed Vehicles</t>
  </si>
  <si>
    <t xml:space="preserve">Business Personal Property</t>
  </si>
  <si>
    <t xml:space="preserve">Equipment or Supplies</t>
  </si>
  <si>
    <t xml:space="preserve">Inventory</t>
  </si>
  <si>
    <t xml:space="preserve">Goods in transit</t>
  </si>
  <si>
    <t xml:space="preserve">Livestock</t>
  </si>
  <si>
    <t xml:space="preserve">Unharvested Crops</t>
  </si>
  <si>
    <t xml:space="preserve">Harvested Crops</t>
  </si>
  <si>
    <t xml:space="preserve">Misc. Business Personal Property</t>
  </si>
  <si>
    <t xml:space="preserve">Structures</t>
  </si>
  <si>
    <t xml:space="preserve">Structures on Leased Land</t>
  </si>
  <si>
    <t xml:space="preserve">Temporary structures</t>
  </si>
  <si>
    <t xml:space="preserve">Intangible personal property</t>
  </si>
  <si>
    <t xml:space="preserve">Misc. Personal Property</t>
  </si>
  <si>
    <t xml:space="preserve">Single Residential</t>
  </si>
  <si>
    <t xml:space="preserve">Single Family Residential</t>
  </si>
  <si>
    <t xml:space="preserve">Townhouse</t>
  </si>
  <si>
    <t xml:space="preserve">Cluster home</t>
  </si>
  <si>
    <t xml:space="preserve">Condominium Unit</t>
  </si>
  <si>
    <t xml:space="preserve">Cooperative Unit</t>
  </si>
  <si>
    <t xml:space="preserve">Mobile or Manufactured Home</t>
  </si>
  <si>
    <t xml:space="preserve">Row House</t>
  </si>
  <si>
    <t xml:space="preserve">Rural or Agricultural Residence</t>
  </si>
  <si>
    <t xml:space="preserve">Planned Unit Development</t>
  </si>
  <si>
    <t xml:space="preserve">Residential Common Area</t>
  </si>
  <si>
    <t xml:space="preserve">Timeshare</t>
  </si>
  <si>
    <t xml:space="preserve">Vacation Residence</t>
  </si>
  <si>
    <t xml:space="preserve">Bungalow</t>
  </si>
  <si>
    <t xml:space="preserve">Zero Lot Line</t>
  </si>
  <si>
    <t xml:space="preserve">Misc Residential Improvement</t>
  </si>
  <si>
    <t xml:space="preserve">Modular or Pre-Fabricated Homes</t>
  </si>
  <si>
    <t xml:space="preserve">Patio Home</t>
  </si>
  <si>
    <t xml:space="preserve">Garden Home</t>
  </si>
  <si>
    <t xml:space="preserve">Landominium</t>
  </si>
  <si>
    <t xml:space="preserve">Barndominium</t>
  </si>
  <si>
    <t xml:space="preserve">Tiny House</t>
  </si>
  <si>
    <t xml:space="preserve">Multi-family Residential Income</t>
  </si>
  <si>
    <t xml:space="preserve">Duplex</t>
  </si>
  <si>
    <t xml:space="preserve">Triplex</t>
  </si>
  <si>
    <t xml:space="preserve">Quadruplex</t>
  </si>
  <si>
    <t xml:space="preserve">Apartment House with 5 or more units</t>
  </si>
  <si>
    <t xml:space="preserve">Apartment House with 100 or more units</t>
  </si>
  <si>
    <t xml:space="preserve">Garden or Court Apartment with 5 or more units</t>
  </si>
  <si>
    <t xml:space="preserve">Highrise Apartments</t>
  </si>
  <si>
    <t xml:space="preserve">Boarding House, Rooming House, Apt Hotel, Transient Lodgings, or Hostel</t>
  </si>
  <si>
    <t xml:space="preserve">Mobile Home or Trailer Park</t>
  </si>
  <si>
    <t xml:space="preserve">Multi-Family Dwellings</t>
  </si>
  <si>
    <t xml:space="preserve">Fraternity or Sorority House</t>
  </si>
  <si>
    <t xml:space="preserve">Apartments</t>
  </si>
  <si>
    <t xml:space="preserve">Dormitory or Group Quarters</t>
  </si>
  <si>
    <t xml:space="preserve">Residential Condominium Development</t>
  </si>
  <si>
    <t xml:space="preserve">Condominium Building</t>
  </si>
  <si>
    <t xml:space="preserve">Cooperative Building</t>
  </si>
  <si>
    <t xml:space="preserve">Residential Parking Garage</t>
  </si>
  <si>
    <t xml:space="preserve">Residential Storage Space</t>
  </si>
  <si>
    <t xml:space="preserve">Retail Stores</t>
  </si>
  <si>
    <t xml:space="preserve">Multi-story Store</t>
  </si>
  <si>
    <t xml:space="preserve">Mixed Use Store and Office</t>
  </si>
  <si>
    <t xml:space="preserve">Department Store</t>
  </si>
  <si>
    <t xml:space="preserve">Multi-story Department Store</t>
  </si>
  <si>
    <t xml:space="preserve">Supermarket or Grocery Store</t>
  </si>
  <si>
    <t xml:space="preserve">Regional Shopping Center</t>
  </si>
  <si>
    <t xml:space="preserve">Community Shopping Center</t>
  </si>
  <si>
    <t xml:space="preserve">Neighborhood Shopping Center or Enterprise Zone</t>
  </si>
  <si>
    <t xml:space="preserve">Shopping Center Common Area</t>
  </si>
  <si>
    <t xml:space="preserve">Veterinary</t>
  </si>
  <si>
    <t xml:space="preserve">Restaurant</t>
  </si>
  <si>
    <t xml:space="preserve">Fast Food Restaurant</t>
  </si>
  <si>
    <t xml:space="preserve">Take-out Restaurant</t>
  </si>
  <si>
    <t xml:space="preserve">Bakery</t>
  </si>
  <si>
    <t xml:space="preserve">Bar or Pub</t>
  </si>
  <si>
    <t xml:space="preserve">Liquor Store</t>
  </si>
  <si>
    <t xml:space="preserve">Convenience Store</t>
  </si>
  <si>
    <t xml:space="preserve">Convenience Store with Fuel</t>
  </si>
  <si>
    <t xml:space="preserve">Full Service Station</t>
  </si>
  <si>
    <t xml:space="preserve">Full Service Station with Convenience Store</t>
  </si>
  <si>
    <t xml:space="preserve">Truck Stop</t>
  </si>
  <si>
    <t xml:space="preserve">Vehicle Sales or Rentals</t>
  </si>
  <si>
    <t xml:space="preserve">Auto Repair or Garage</t>
  </si>
  <si>
    <t xml:space="preserve">Car wash</t>
  </si>
  <si>
    <t xml:space="preserve">Dry Cleaner or Laundry Service</t>
  </si>
  <si>
    <t xml:space="preserve">Service Shop</t>
  </si>
  <si>
    <t xml:space="preserve">Florist, Nursery, or Greenhouse</t>
  </si>
  <si>
    <t xml:space="preserve">Wholesale Outlet or Discount Store</t>
  </si>
  <si>
    <t xml:space="preserve">Printer or Delivery</t>
  </si>
  <si>
    <t xml:space="preserve">Self Storage</t>
  </si>
  <si>
    <t xml:space="preserve">Day Care or Pre-school</t>
  </si>
  <si>
    <t xml:space="preserve">Motel</t>
  </si>
  <si>
    <t xml:space="preserve">Hotel</t>
  </si>
  <si>
    <t xml:space="preserve">Parking Structure</t>
  </si>
  <si>
    <t xml:space="preserve">Parking Lot</t>
  </si>
  <si>
    <t xml:space="preserve">Funeral Home or Mortuary</t>
  </si>
  <si>
    <t xml:space="preserve">Casino</t>
  </si>
  <si>
    <t xml:space="preserve">Resort</t>
  </si>
  <si>
    <t xml:space="preserve">Hotel or Motel</t>
  </si>
  <si>
    <t xml:space="preserve">Gas Station</t>
  </si>
  <si>
    <t xml:space="preserve">Mixed Use Retail and Residential</t>
  </si>
  <si>
    <t xml:space="preserve">Commercial Building, Mail Order, Non-Auto Show Room, Commercial Warehouse</t>
  </si>
  <si>
    <t xml:space="preserve">Mixed Use Residential, Commercial, or Office</t>
  </si>
  <si>
    <t xml:space="preserve">Appliance Store</t>
  </si>
  <si>
    <t xml:space="preserve">Kennel</t>
  </si>
  <si>
    <t xml:space="preserve">Laundromat</t>
  </si>
  <si>
    <t xml:space="preserve">Nightclub</t>
  </si>
  <si>
    <t xml:space="preserve">Retail Farm Supply and Equipment</t>
  </si>
  <si>
    <t xml:space="preserve">Home Improvement or Garden Center</t>
  </si>
  <si>
    <t xml:space="preserve">Commercial Condominium Not Used For Offices</t>
  </si>
  <si>
    <t xml:space="preserve">Drug Store</t>
  </si>
  <si>
    <t xml:space="preserve">Bed and Breakfast</t>
  </si>
  <si>
    <t xml:space="preserve">Barber or Hair Salon</t>
  </si>
  <si>
    <t xml:space="preserve">Pet Boarding or Grooming</t>
  </si>
  <si>
    <t xml:space="preserve">Roadside Market</t>
  </si>
  <si>
    <t xml:space="preserve">Automated Car Wash</t>
  </si>
  <si>
    <t xml:space="preserve">Self-serve Car Wash</t>
  </si>
  <si>
    <t xml:space="preserve">Cannabis Dispensary</t>
  </si>
  <si>
    <t xml:space="preserve">Commercial Office</t>
  </si>
  <si>
    <t xml:space="preserve">Professional Building</t>
  </si>
  <si>
    <t xml:space="preserve">Multi-story Professional Building</t>
  </si>
  <si>
    <t xml:space="preserve">Office Building</t>
  </si>
  <si>
    <t xml:space="preserve">Multi-story Office Building</t>
  </si>
  <si>
    <t xml:space="preserve">Dental Building</t>
  </si>
  <si>
    <t xml:space="preserve">Medical Building</t>
  </si>
  <si>
    <t xml:space="preserve">Financial Building</t>
  </si>
  <si>
    <t xml:space="preserve">Condominium Offices</t>
  </si>
  <si>
    <t xml:space="preserve">Commercial Highrise Offices</t>
  </si>
  <si>
    <t xml:space="preserve">Mixed Use Commercial and Industrial</t>
  </si>
  <si>
    <t xml:space="preserve">Commercial Common Area</t>
  </si>
  <si>
    <t xml:space="preserve">Mobile Commercial Units</t>
  </si>
  <si>
    <t xml:space="preserve">Recreational or Entertainment</t>
  </si>
  <si>
    <t xml:space="preserve">Recreation Center</t>
  </si>
  <si>
    <t xml:space="preserve">Public Swimming Pool</t>
  </si>
  <si>
    <t xml:space="preserve">Marina or Yacht Club</t>
  </si>
  <si>
    <t xml:space="preserve">Bowling Alley</t>
  </si>
  <si>
    <t xml:space="preserve">Arcade</t>
  </si>
  <si>
    <t xml:space="preserve">Ice or Roller Skating Rink</t>
  </si>
  <si>
    <t xml:space="preserve">Club, Lodge, or Professional Association</t>
  </si>
  <si>
    <t xml:space="preserve">Museum, Library, or Art Gallery</t>
  </si>
  <si>
    <t xml:space="preserve">Country Club</t>
  </si>
  <si>
    <t xml:space="preserve">Stadiums</t>
  </si>
  <si>
    <t xml:space="preserve">Arena or Convention Center</t>
  </si>
  <si>
    <t xml:space="preserve">Auditoriums</t>
  </si>
  <si>
    <t xml:space="preserve">Driving Range</t>
  </si>
  <si>
    <t xml:space="preserve">Race Track</t>
  </si>
  <si>
    <t xml:space="preserve">Gym or Health Spa</t>
  </si>
  <si>
    <t xml:space="preserve">Dance Hall</t>
  </si>
  <si>
    <t xml:space="preserve">Riding Stable or Trails</t>
  </si>
  <si>
    <t xml:space="preserve">Campground or RV Park</t>
  </si>
  <si>
    <t xml:space="preserve">Fairgrounds</t>
  </si>
  <si>
    <t xml:space="preserve">Theater</t>
  </si>
  <si>
    <t xml:space="preserve">Drive-In Theater</t>
  </si>
  <si>
    <t xml:space="preserve">Tourist Attraction</t>
  </si>
  <si>
    <t xml:space="preserve">Pier or Wharf</t>
  </si>
  <si>
    <t xml:space="preserve">Fish Camps, Game Club, or Target Shooting</t>
  </si>
  <si>
    <t xml:space="preserve">Outdoor Recreation</t>
  </si>
  <si>
    <t xml:space="preserve">Pool Hall</t>
  </si>
  <si>
    <t xml:space="preserve">Park, Playground, or Picnic Area</t>
  </si>
  <si>
    <t xml:space="preserve">Golf Course</t>
  </si>
  <si>
    <t xml:space="preserve">Racquet or Tennis Court</t>
  </si>
  <si>
    <t xml:space="preserve">Zoo</t>
  </si>
  <si>
    <t xml:space="preserve">Go-carts, Miniature Golf, or Water slides</t>
  </si>
  <si>
    <t xml:space="preserve">Sports Complex</t>
  </si>
  <si>
    <t xml:space="preserve">Light Manufacturing</t>
  </si>
  <si>
    <t xml:space="preserve">Light Industrial</t>
  </si>
  <si>
    <t xml:space="preserve">Industrial Warehouse</t>
  </si>
  <si>
    <t xml:space="preserve">Storage yard or Open Storage</t>
  </si>
  <si>
    <t xml:space="preserve">Food Packing Plant</t>
  </si>
  <si>
    <t xml:space="preserve">Light Industrial Assembly</t>
  </si>
  <si>
    <t xml:space="preserve">Food Processing</t>
  </si>
  <si>
    <t xml:space="preserve">Recycling</t>
  </si>
  <si>
    <t xml:space="preserve">Communications</t>
  </si>
  <si>
    <t xml:space="preserve">Industrial Condominiums</t>
  </si>
  <si>
    <t xml:space="preserve">Laboratory, Research and Development Facility, Cosmetics, or Pharmaceutical</t>
  </si>
  <si>
    <t xml:space="preserve">Industrial Park</t>
  </si>
  <si>
    <t xml:space="preserve">Multi-Tenant Industrial Building</t>
  </si>
  <si>
    <t xml:space="preserve">Small Craft Marine Facility or Boat Repairs</t>
  </si>
  <si>
    <t xml:space="preserve">Lumber and Wood Product Manufacturing</t>
  </si>
  <si>
    <t xml:space="preserve">Paper Product Manufacturing and Related Products</t>
  </si>
  <si>
    <t xml:space="preserve">Light Industrial Printing and Publishing</t>
  </si>
  <si>
    <t xml:space="preserve">Loft Building</t>
  </si>
  <si>
    <t xml:space="preserve">Industrial Construction or Contracting Services</t>
  </si>
  <si>
    <t xml:space="preserve">Industrial Common Area</t>
  </si>
  <si>
    <t xml:space="preserve">Transportation</t>
  </si>
  <si>
    <t xml:space="preserve">Regional Distribution Warehouse</t>
  </si>
  <si>
    <t xml:space="preserve">Mining Facility</t>
  </si>
  <si>
    <t xml:space="preserve">Junkyard</t>
  </si>
  <si>
    <t xml:space="preserve">Distillery, Brewery, or Bottling</t>
  </si>
  <si>
    <t xml:space="preserve">Refinery or Petroleum Products</t>
  </si>
  <si>
    <t xml:space="preserve">Mill</t>
  </si>
  <si>
    <t xml:space="preserve">Medium Manufacturing</t>
  </si>
  <si>
    <t xml:space="preserve">Processing Plant</t>
  </si>
  <si>
    <t xml:space="preserve">Lumberyard or Building Materials</t>
  </si>
  <si>
    <t xml:space="preserve">Shipyard</t>
  </si>
  <si>
    <t xml:space="preserve">Slaughter House or Stockyard</t>
  </si>
  <si>
    <t xml:space="preserve">Waste Treatment, Processing, Disposal, or Storage</t>
  </si>
  <si>
    <t xml:space="preserve">Quarries</t>
  </si>
  <si>
    <t xml:space="preserve">Heavy Manufacturing</t>
  </si>
  <si>
    <t xml:space="preserve">Industrial Labor Camps</t>
  </si>
  <si>
    <t xml:space="preserve">Winery</t>
  </si>
  <si>
    <t xml:space="preserve">Chemical</t>
  </si>
  <si>
    <t xml:space="preserve">Foundry or Industrial Plant</t>
  </si>
  <si>
    <t xml:space="preserve">Cannery</t>
  </si>
  <si>
    <t xml:space="preserve">Bulk Storage or Storage Tanks</t>
  </si>
  <si>
    <t xml:space="preserve">Grain Elevator</t>
  </si>
  <si>
    <t xml:space="preserve">Dump Site</t>
  </si>
  <si>
    <t xml:space="preserve">Cold Storage</t>
  </si>
  <si>
    <t xml:space="preserve">Sugar Refinery</t>
  </si>
  <si>
    <t xml:space="preserve">Airport and related</t>
  </si>
  <si>
    <t xml:space="preserve">Railroad and related</t>
  </si>
  <si>
    <t xml:space="preserve">Freeways or State Highways</t>
  </si>
  <si>
    <t xml:space="preserve">Roads, Streets, or Bridges</t>
  </si>
  <si>
    <t xml:space="preserve">Bus Terminal</t>
  </si>
  <si>
    <t xml:space="preserve">Telephone or Telegraph</t>
  </si>
  <si>
    <t xml:space="preserve">Radio or TV station</t>
  </si>
  <si>
    <t xml:space="preserve">Truck Terminal</t>
  </si>
  <si>
    <t xml:space="preserve">Cable TV Station</t>
  </si>
  <si>
    <t xml:space="preserve">Harbor and Marine Transportation</t>
  </si>
  <si>
    <t xml:space="preserve">Microwave</t>
  </si>
  <si>
    <t xml:space="preserve">Commercial Auto Transportation and Storage</t>
  </si>
  <si>
    <t xml:space="preserve">Pollution Control</t>
  </si>
  <si>
    <t xml:space="preserve">Cellular</t>
  </si>
  <si>
    <t xml:space="preserve">Agricultural or Rural</t>
  </si>
  <si>
    <t xml:space="preserve">Farm</t>
  </si>
  <si>
    <t xml:space="preserve">Ranch</t>
  </si>
  <si>
    <t xml:space="preserve">Range land</t>
  </si>
  <si>
    <t xml:space="preserve">Crops</t>
  </si>
  <si>
    <t xml:space="preserve">Orchard</t>
  </si>
  <si>
    <t xml:space="preserve">Vineyard</t>
  </si>
  <si>
    <t xml:space="preserve">Poultry Farm</t>
  </si>
  <si>
    <t xml:space="preserve">Dairy Farm</t>
  </si>
  <si>
    <t xml:space="preserve">Timberland, Forest, or Trees</t>
  </si>
  <si>
    <t xml:space="preserve">Wildlife Refuge</t>
  </si>
  <si>
    <t xml:space="preserve">Desert or Barren Land</t>
  </si>
  <si>
    <t xml:space="preserve">Pasture or Meadow</t>
  </si>
  <si>
    <t xml:space="preserve">Misc. Structures</t>
  </si>
  <si>
    <t xml:space="preserve">Grove</t>
  </si>
  <si>
    <t xml:space="preserve">Feedlots</t>
  </si>
  <si>
    <t xml:space="preserve">Livestock parcel</t>
  </si>
  <si>
    <t xml:space="preserve">Horticulture, Growing Houses, or Ornamental</t>
  </si>
  <si>
    <t xml:space="preserve">Well Site</t>
  </si>
  <si>
    <t xml:space="preserve">Truck Crops</t>
  </si>
  <si>
    <t xml:space="preserve">Reservoir or Water Supply</t>
  </si>
  <si>
    <t xml:space="preserve">Irrigation or Flood Control</t>
  </si>
  <si>
    <t xml:space="preserve">Natural Resources</t>
  </si>
  <si>
    <t xml:space="preserve">Non-residential Rural Improved</t>
  </si>
  <si>
    <t xml:space="preserve">Cannabis Grow Facility</t>
  </si>
  <si>
    <t xml:space="preserve">Residential Vacant Land</t>
  </si>
  <si>
    <t xml:space="preserve">Commercial Vacant Land</t>
  </si>
  <si>
    <t xml:space="preserve">Industrial Vacant Land</t>
  </si>
  <si>
    <t xml:space="preserve">Private preserve or open space</t>
  </si>
  <si>
    <t xml:space="preserve">Institutional Vacant Land</t>
  </si>
  <si>
    <t xml:space="preserve">Government Vacant Land</t>
  </si>
  <si>
    <t xml:space="preserve">Multi-Family Vacant Land</t>
  </si>
  <si>
    <t xml:space="preserve">Rural or Agricultural Vacant Land</t>
  </si>
  <si>
    <t xml:space="preserve">Wasteland, March, or Swamp Vacant Land</t>
  </si>
  <si>
    <t xml:space="preserve">Recreational Vacant Land</t>
  </si>
  <si>
    <t xml:space="preserve">Water Area Vacant Land</t>
  </si>
  <si>
    <t xml:space="preserve">Unusable Land</t>
  </si>
  <si>
    <t xml:space="preserve">Abandoned or Contaminated Site</t>
  </si>
  <si>
    <t xml:space="preserve">Under Construction</t>
  </si>
  <si>
    <t xml:space="preserve">Vacant Land with Destroyed or Uninhabitable Improvement</t>
  </si>
  <si>
    <t xml:space="preserve">Vacant Land with Unspecified Improvement</t>
  </si>
  <si>
    <t xml:space="preserve">Exempt Vacant Land</t>
  </si>
  <si>
    <t xml:space="preserve">Special Assessments</t>
  </si>
  <si>
    <t xml:space="preserve">Regulating districts, assessments, and tax abatement</t>
  </si>
  <si>
    <t xml:space="preserve">Redevelopment Agency or Zone</t>
  </si>
  <si>
    <t xml:space="preserve">Centrally Assessed</t>
  </si>
  <si>
    <t xml:space="preserve">Native American Land</t>
  </si>
  <si>
    <t xml:space="preserve">Religious and Related</t>
  </si>
  <si>
    <t xml:space="preserve">Private or Parochial School</t>
  </si>
  <si>
    <t xml:space="preserve">Private Vocational School, College, or University</t>
  </si>
  <si>
    <t xml:space="preserve">Private Hospital</t>
  </si>
  <si>
    <t xml:space="preserve">Medical Clinic</t>
  </si>
  <si>
    <t xml:space="preserve">Retirement or Nursing Home</t>
  </si>
  <si>
    <t xml:space="preserve">Orphanage</t>
  </si>
  <si>
    <t xml:space="preserve">Cemetery</t>
  </si>
  <si>
    <t xml:space="preserve">Crematorium or Mortuary</t>
  </si>
  <si>
    <t xml:space="preserve">Fraternal or Charitable Organization</t>
  </si>
  <si>
    <t xml:space="preserve">Recreational Non-Taxable</t>
  </si>
  <si>
    <t xml:space="preserve">Private Utility</t>
  </si>
  <si>
    <t xml:space="preserve">Governmental or Public Use</t>
  </si>
  <si>
    <t xml:space="preserve">Military</t>
  </si>
  <si>
    <t xml:space="preserve">Forest</t>
  </si>
  <si>
    <t xml:space="preserve">Public School</t>
  </si>
  <si>
    <t xml:space="preserve">Public College or University</t>
  </si>
  <si>
    <t xml:space="preserve">Post Office</t>
  </si>
  <si>
    <t xml:space="preserve">Cultural or Historical</t>
  </si>
  <si>
    <t xml:space="preserve">Government Administrative Office</t>
  </si>
  <si>
    <t xml:space="preserve">Emergency Service</t>
  </si>
  <si>
    <t xml:space="preserve">Other exempt property</t>
  </si>
  <si>
    <t xml:space="preserve">City, Municipal, Town, or Village Owned</t>
  </si>
  <si>
    <t xml:space="preserve">County Owned</t>
  </si>
  <si>
    <t xml:space="preserve">State Owned</t>
  </si>
  <si>
    <t xml:space="preserve">Federal Property</t>
  </si>
  <si>
    <t xml:space="preserve">Public Health Care Facility</t>
  </si>
  <si>
    <t xml:space="preserve">Community Center</t>
  </si>
  <si>
    <t xml:space="preserve">Public Utility</t>
  </si>
  <si>
    <t xml:space="preserve">Social Service or Low Income Housing</t>
  </si>
  <si>
    <t xml:space="preserve">Correctional Facility, Jails, Prisons, or Insane Asylum</t>
  </si>
  <si>
    <t xml:space="preserve">Public Hospital</t>
  </si>
  <si>
    <t xml:space="preserve">Private Historical</t>
  </si>
  <si>
    <t xml:space="preserve">Historical Residence</t>
  </si>
  <si>
    <t xml:space="preserve">Historical Retail</t>
  </si>
  <si>
    <t xml:space="preserve">Historical Warehouse</t>
  </si>
  <si>
    <t xml:space="preserve">Historical Office</t>
  </si>
  <si>
    <t xml:space="preserve">Historical Transient Lodging</t>
  </si>
  <si>
    <t xml:space="preserve">Historical Recreation or Entertainment</t>
  </si>
  <si>
    <t xml:space="preserve">Historical Site</t>
  </si>
  <si>
    <t xml:space="preserve">Historical District</t>
  </si>
  <si>
    <t xml:space="preserve">Amusement Park</t>
  </si>
  <si>
    <t xml:space="preserve">Converted</t>
  </si>
  <si>
    <t xml:space="preserve">Hatchery</t>
  </si>
  <si>
    <t xml:space="preserve">Highrise</t>
  </si>
  <si>
    <t xml:space="preserve">Midrise</t>
  </si>
  <si>
    <t xml:space="preserve">Self Service Station</t>
  </si>
  <si>
    <t xml:space="preserve">Storage</t>
  </si>
  <si>
    <t xml:space="preserve">Close to a Freeway</t>
  </si>
  <si>
    <t xml:space="preserve">Ocean, River, or Lake Beach Waterfront</t>
  </si>
  <si>
    <t xml:space="preserve">Close to a Contamination Site</t>
  </si>
  <si>
    <t xml:space="preserve">In Cul-de-sac</t>
  </si>
  <si>
    <t xml:space="preserve">On Street Corner</t>
  </si>
  <si>
    <t xml:space="preserve">Has Bad View</t>
  </si>
  <si>
    <t xml:space="preserve">Has Average View</t>
  </si>
  <si>
    <t xml:space="preserve">Close to a school</t>
  </si>
  <si>
    <t xml:space="preserve">Adjacent to a golf course</t>
  </si>
  <si>
    <t xml:space="preserve">Has No View</t>
  </si>
  <si>
    <t xml:space="preserve">Has Lake View</t>
  </si>
  <si>
    <t xml:space="preserve">Has Mountain View</t>
  </si>
  <si>
    <t xml:space="preserve">Is Canal Waterfront</t>
  </si>
  <si>
    <t xml:space="preserve">Has Ocean View</t>
  </si>
  <si>
    <t xml:space="preserve">Close to an Airport</t>
  </si>
  <si>
    <t xml:space="preserve">In Green Belt</t>
  </si>
  <si>
    <t xml:space="preserve">Close to Railroad</t>
  </si>
  <si>
    <t xml:space="preserve">On Major Street</t>
  </si>
  <si>
    <t xml:space="preserve">In High Traffic Area</t>
  </si>
  <si>
    <t xml:space="preserve">Has River View</t>
  </si>
  <si>
    <t xml:space="preserve">Has Unspecified View</t>
  </si>
  <si>
    <t xml:space="preserve">Is Unspecified Waterfront</t>
  </si>
  <si>
    <t xml:space="preserve">In Flood Zone</t>
  </si>
  <si>
    <t xml:space="preserve">Above Street Level</t>
  </si>
  <si>
    <t xml:space="preserve">Below Street Level</t>
  </si>
  <si>
    <t xml:space="preserve">Level Grade</t>
  </si>
  <si>
    <t xml:space="preserve">High Elevation</t>
  </si>
  <si>
    <t xml:space="preserve">Hilly</t>
  </si>
  <si>
    <t xml:space="preserve">Low Elevation</t>
  </si>
  <si>
    <t xml:space="preserve">Mountain</t>
  </si>
  <si>
    <t xml:space="preserve">Rocky</t>
  </si>
  <si>
    <t xml:space="preserve">Swampy</t>
  </si>
  <si>
    <t xml:space="preserve">Marsh</t>
  </si>
  <si>
    <t xml:space="preserve">Rolling</t>
  </si>
  <si>
    <t xml:space="preserve">Steep</t>
  </si>
  <si>
    <t xml:space="preserve">Wooded</t>
  </si>
  <si>
    <t xml:space="preserve">Mixed</t>
  </si>
  <si>
    <t xml:space="preserve">Brushy</t>
  </si>
  <si>
    <t xml:space="preserve">Has Bay View</t>
  </si>
  <si>
    <t xml:space="preserve">Has Canyon View</t>
  </si>
  <si>
    <t xml:space="preserve">Has City View</t>
  </si>
  <si>
    <t xml:space="preserve">Has Creek View</t>
  </si>
  <si>
    <t xml:space="preserve">Has Good View</t>
  </si>
  <si>
    <t xml:space="preserve">Has Lagoon View</t>
  </si>
  <si>
    <t xml:space="preserve">Has Park View</t>
  </si>
  <si>
    <t xml:space="preserve">Has Pond View</t>
  </si>
  <si>
    <t xml:space="preserve">Has Pool View</t>
  </si>
  <si>
    <t xml:space="preserve">Has Poor Access</t>
  </si>
  <si>
    <t xml:space="preserve">In Urban Area</t>
  </si>
  <si>
    <t xml:space="preserve">Is Downtown</t>
  </si>
  <si>
    <t xml:space="preserve">Is Mobile Home</t>
  </si>
  <si>
    <t xml:space="preserve">Is Rural</t>
  </si>
  <si>
    <t xml:space="preserve">On Private Road</t>
  </si>
  <si>
    <t xml:space="preserve">More than one lot</t>
  </si>
  <si>
    <t xml:space="preserve">Multiple with a Portion of One or More Lots</t>
  </si>
  <si>
    <t xml:space="preserve">Portion of a lot</t>
  </si>
  <si>
    <t xml:space="preserve">structure</t>
  </si>
  <si>
    <t xml:space="preserve">Attached Garage</t>
  </si>
  <si>
    <t xml:space="preserve">Built-in</t>
  </si>
  <si>
    <t xml:space="preserve">Carport</t>
  </si>
  <si>
    <t xml:space="preserve">Detached Garage</t>
  </si>
  <si>
    <t xml:space="preserve">Pole</t>
  </si>
  <si>
    <t xml:space="preserve">Offsite</t>
  </si>
  <si>
    <t xml:space="preserve">Garage</t>
  </si>
  <si>
    <t xml:space="preserve">Heated</t>
  </si>
  <si>
    <t xml:space="preserve">Unfinished Attached</t>
  </si>
  <si>
    <t xml:space="preserve">Unfinished Detached</t>
  </si>
  <si>
    <t xml:space="preserve">Unimproved</t>
  </si>
  <si>
    <t xml:space="preserve">None</t>
  </si>
  <si>
    <t xml:space="preserve">Open</t>
  </si>
  <si>
    <t xml:space="preserve">Paved</t>
  </si>
  <si>
    <t xml:space="preserve">Ramp</t>
  </si>
  <si>
    <t xml:space="preserve">Tuckunder</t>
  </si>
  <si>
    <t xml:space="preserve">Underground</t>
  </si>
  <si>
    <t xml:space="preserve">Covered</t>
  </si>
  <si>
    <t xml:space="preserve">Finished Attached</t>
  </si>
  <si>
    <t xml:space="preserve">Finished Detached</t>
  </si>
  <si>
    <t xml:space="preserve">On Site</t>
  </si>
  <si>
    <t xml:space="preserve">On Street</t>
  </si>
  <si>
    <t xml:space="preserve">Off Street</t>
  </si>
  <si>
    <t xml:space="preserve">Prefab Carport</t>
  </si>
  <si>
    <t xml:space="preserve">Prefab Garage</t>
  </si>
  <si>
    <t xml:space="preserve">Above-Ground Pool</t>
  </si>
  <si>
    <t xml:space="preserve">Pool and Spa</t>
  </si>
  <si>
    <t xml:space="preserve">Community Pool or Spa</t>
  </si>
  <si>
    <t xml:space="preserve">Enclosed</t>
  </si>
  <si>
    <t xml:space="preserve">In-Ground Pool</t>
  </si>
  <si>
    <t xml:space="preserve">Heated Pool</t>
  </si>
  <si>
    <t xml:space="preserve">Indoor Swimming Pool</t>
  </si>
  <si>
    <t xml:space="preserve">Solar Heated</t>
  </si>
  <si>
    <t xml:space="preserve">Spa or Hot Tub</t>
  </si>
  <si>
    <t xml:space="preserve">Vinyl In-Ground Pool</t>
  </si>
  <si>
    <t xml:space="preserve">Yes</t>
  </si>
  <si>
    <t xml:space="preserve">Adult Or Kiddie Pool</t>
  </si>
  <si>
    <t xml:space="preserve">Brick</t>
  </si>
  <si>
    <t xml:space="preserve">Concrete</t>
  </si>
  <si>
    <t xml:space="preserve">Fenced Pool</t>
  </si>
  <si>
    <t xml:space="preserve">Fiberglass</t>
  </si>
  <si>
    <t xml:space="preserve">Fish</t>
  </si>
  <si>
    <t xml:space="preserve">Granite</t>
  </si>
  <si>
    <t xml:space="preserve">Gunite</t>
  </si>
  <si>
    <t xml:space="preserve">Hot Tub and Spa</t>
  </si>
  <si>
    <t xml:space="preserve">Kiddie</t>
  </si>
  <si>
    <t xml:space="preserve">Lagoon</t>
  </si>
  <si>
    <t xml:space="preserve">Metal</t>
  </si>
  <si>
    <t xml:space="preserve">Plastic</t>
  </si>
  <si>
    <t xml:space="preserve">Pool and Bath House</t>
  </si>
  <si>
    <t xml:space="preserve">Pool and Cabana</t>
  </si>
  <si>
    <t xml:space="preserve">Pool and Hot Tub</t>
  </si>
  <si>
    <t xml:space="preserve">Pool and Sauna</t>
  </si>
  <si>
    <t xml:space="preserve">Pool House</t>
  </si>
  <si>
    <t xml:space="preserve">Pool Or Hot Tub</t>
  </si>
  <si>
    <t xml:space="preserve">Pool Or Sauna</t>
  </si>
  <si>
    <t xml:space="preserve">Pool Or Spa</t>
  </si>
  <si>
    <t xml:space="preserve">Pool With Bar</t>
  </si>
  <si>
    <t xml:space="preserve">Pool With Canopy</t>
  </si>
  <si>
    <t xml:space="preserve">Pool With Fountain</t>
  </si>
  <si>
    <t xml:space="preserve">Pool With Patio</t>
  </si>
  <si>
    <t xml:space="preserve">Pool With Waterfall</t>
  </si>
  <si>
    <t xml:space="preserve">Sauna</t>
  </si>
  <si>
    <t xml:space="preserve">Sauna Or Spa</t>
  </si>
  <si>
    <t xml:space="preserve">Spa Or Hot Tub</t>
  </si>
  <si>
    <t xml:space="preserve">Steel Or Vinyl</t>
  </si>
  <si>
    <t xml:space="preserve">Vinyl</t>
  </si>
  <si>
    <t xml:space="preserve">Vinyl Or Fiberglass</t>
  </si>
  <si>
    <t xml:space="preserve">Traditional</t>
  </si>
  <si>
    <t xml:space="preserve">European</t>
  </si>
  <si>
    <t xml:space="preserve">Mobile or Manufactured</t>
  </si>
  <si>
    <t xml:space="preserve">A-Frame</t>
  </si>
  <si>
    <t xml:space="preserve">Cape Cod</t>
  </si>
  <si>
    <t xml:space="preserve">Colonial</t>
  </si>
  <si>
    <t xml:space="preserve">English</t>
  </si>
  <si>
    <t xml:space="preserve">French Provincial</t>
  </si>
  <si>
    <t xml:space="preserve">Georgian</t>
  </si>
  <si>
    <t xml:space="preserve">High-rise</t>
  </si>
  <si>
    <t xml:space="preserve">Modern</t>
  </si>
  <si>
    <t xml:space="preserve">Spanish</t>
  </si>
  <si>
    <t xml:space="preserve">Tudor</t>
  </si>
  <si>
    <t xml:space="preserve">Mediterranean</t>
  </si>
  <si>
    <t xml:space="preserve">Conventional</t>
  </si>
  <si>
    <t xml:space="preserve">Prefab, Modular</t>
  </si>
  <si>
    <t xml:space="preserve">Mansion</t>
  </si>
  <si>
    <t xml:space="preserve">Raised Ranch</t>
  </si>
  <si>
    <t xml:space="preserve">Dome</t>
  </si>
  <si>
    <t xml:space="preserve">Contemporary</t>
  </si>
  <si>
    <t xml:space="preserve">Unfinished</t>
  </si>
  <si>
    <t xml:space="preserve">Victorian</t>
  </si>
  <si>
    <t xml:space="preserve">Cottage</t>
  </si>
  <si>
    <t xml:space="preserve">Custom</t>
  </si>
  <si>
    <t xml:space="preserve">Rustic or Log Cabin</t>
  </si>
  <si>
    <t xml:space="preserve">Airlite</t>
  </si>
  <si>
    <t xml:space="preserve">Art Deco</t>
  </si>
  <si>
    <t xml:space="preserve">Barn</t>
  </si>
  <si>
    <t xml:space="preserve">Center Hall</t>
  </si>
  <si>
    <t xml:space="preserve">Chalet</t>
  </si>
  <si>
    <t xml:space="preserve">Cluster</t>
  </si>
  <si>
    <t xml:space="preserve">Condominium</t>
  </si>
  <si>
    <t xml:space="preserve">Converted School</t>
  </si>
  <si>
    <t xml:space="preserve">Federalist</t>
  </si>
  <si>
    <t xml:space="preserve">Garrison</t>
  </si>
  <si>
    <t xml:space="preserve">Gothic</t>
  </si>
  <si>
    <t xml:space="preserve">Greek Revival</t>
  </si>
  <si>
    <t xml:space="preserve">Log</t>
  </si>
  <si>
    <t xml:space="preserve">Low-rise</t>
  </si>
  <si>
    <t xml:space="preserve">Mid-rise</t>
  </si>
  <si>
    <t xml:space="preserve">New England</t>
  </si>
  <si>
    <t xml:space="preserve">Salt Box</t>
  </si>
  <si>
    <t xml:space="preserve">Southwestern</t>
  </si>
  <si>
    <t xml:space="preserve">Trinity</t>
  </si>
  <si>
    <t xml:space="preserve">Adobe</t>
  </si>
  <si>
    <t xml:space="preserve">Concrete Block</t>
  </si>
  <si>
    <t xml:space="preserve">Frame</t>
  </si>
  <si>
    <t xml:space="preserve">Heavy</t>
  </si>
  <si>
    <t xml:space="preserve">Light</t>
  </si>
  <si>
    <t xml:space="preserve">Manufactured</t>
  </si>
  <si>
    <t xml:space="preserve">Masonry</t>
  </si>
  <si>
    <t xml:space="preserve">Steel</t>
  </si>
  <si>
    <t xml:space="preserve">Stone</t>
  </si>
  <si>
    <t xml:space="preserve">Tilt-up</t>
  </si>
  <si>
    <t xml:space="preserve">Wood</t>
  </si>
  <si>
    <t xml:space="preserve">Flexicore</t>
  </si>
  <si>
    <t xml:space="preserve">Glass</t>
  </si>
  <si>
    <t xml:space="preserve">Exterior Insulation and Finish System</t>
  </si>
  <si>
    <t xml:space="preserve">Fiber Cement Siding</t>
  </si>
  <si>
    <t xml:space="preserve">Aluminum Siding</t>
  </si>
  <si>
    <t xml:space="preserve">Vinyl Siding</t>
  </si>
  <si>
    <t xml:space="preserve">Concrete Tile</t>
  </si>
  <si>
    <t xml:space="preserve">Clay Tile</t>
  </si>
  <si>
    <t xml:space="preserve">Ceramic Tile</t>
  </si>
  <si>
    <t xml:space="preserve">Asbestos Shingle</t>
  </si>
  <si>
    <t xml:space="preserve">Brick Veneer</t>
  </si>
  <si>
    <t xml:space="preserve">Block</t>
  </si>
  <si>
    <t xml:space="preserve">Composition</t>
  </si>
  <si>
    <t xml:space="preserve">Rock or Stone</t>
  </si>
  <si>
    <t xml:space="preserve">Stucco</t>
  </si>
  <si>
    <t xml:space="preserve">Tile</t>
  </si>
  <si>
    <t xml:space="preserve">Wood Shingle</t>
  </si>
  <si>
    <t xml:space="preserve">Wood Siding</t>
  </si>
  <si>
    <t xml:space="preserve">Aluminum or Vinyl Siding</t>
  </si>
  <si>
    <t xml:space="preserve">Non-wood Shingle</t>
  </si>
  <si>
    <t xml:space="preserve">Marble</t>
  </si>
  <si>
    <t xml:space="preserve">Combination</t>
  </si>
  <si>
    <t xml:space="preserve">Unspecified Siding</t>
  </si>
  <si>
    <t xml:space="preserve">Board and Batten</t>
  </si>
  <si>
    <t xml:space="preserve">Cinder Block</t>
  </si>
  <si>
    <t xml:space="preserve">Clapboard</t>
  </si>
  <si>
    <t xml:space="preserve">Hardboard</t>
  </si>
  <si>
    <t xml:space="preserve">Hardwood</t>
  </si>
  <si>
    <t xml:space="preserve">Haydite</t>
  </si>
  <si>
    <t xml:space="preserve">Permastone</t>
  </si>
  <si>
    <t xml:space="preserve">Plaster</t>
  </si>
  <si>
    <t xml:space="preserve">Plywood</t>
  </si>
  <si>
    <t xml:space="preserve">Porcelain</t>
  </si>
  <si>
    <t xml:space="preserve">Pressboard</t>
  </si>
  <si>
    <t xml:space="preserve">Sheathing</t>
  </si>
  <si>
    <t xml:space="preserve">Shingle</t>
  </si>
  <si>
    <t xml:space="preserve">Slate</t>
  </si>
  <si>
    <t xml:space="preserve">Stone Veneer</t>
  </si>
  <si>
    <t xml:space="preserve">Wood Veneer</t>
  </si>
  <si>
    <t xml:space="preserve">Raised</t>
  </si>
  <si>
    <t xml:space="preserve">Crossed Walls</t>
  </si>
  <si>
    <t xml:space="preserve">Earth</t>
  </si>
  <si>
    <t xml:space="preserve">Mud Sill</t>
  </si>
  <si>
    <t xml:space="preserve">Piling</t>
  </si>
  <si>
    <t xml:space="preserve">Piers</t>
  </si>
  <si>
    <t xml:space="preserve">Open Piers</t>
  </si>
  <si>
    <t xml:space="preserve">Retaining Wall</t>
  </si>
  <si>
    <t xml:space="preserve">Slab</t>
  </si>
  <si>
    <t xml:space="preserve">Footing</t>
  </si>
  <si>
    <t xml:space="preserve">Closed Piers</t>
  </si>
  <si>
    <t xml:space="preserve">Concrete Beam</t>
  </si>
  <si>
    <t xml:space="preserve">Grade Beam</t>
  </si>
  <si>
    <t xml:space="preserve">Prefab</t>
  </si>
  <si>
    <t xml:space="preserve">Stem Wall</t>
  </si>
  <si>
    <t xml:space="preserve">Copper</t>
  </si>
  <si>
    <t xml:space="preserve">Tin</t>
  </si>
  <si>
    <t xml:space="preserve">Asbestos</t>
  </si>
  <si>
    <t xml:space="preserve">Built-Up</t>
  </si>
  <si>
    <t xml:space="preserve">Composition Shingle</t>
  </si>
  <si>
    <t xml:space="preserve">Gravel or Rock</t>
  </si>
  <si>
    <t xml:space="preserve">Tar and Gravel</t>
  </si>
  <si>
    <t xml:space="preserve">Bermuda</t>
  </si>
  <si>
    <t xml:space="preserve">Masonite or Cement Shake</t>
  </si>
  <si>
    <t xml:space="preserve">Aluminum</t>
  </si>
  <si>
    <t xml:space="preserve">Wood Shake or Shingles</t>
  </si>
  <si>
    <t xml:space="preserve">Asphalt</t>
  </si>
  <si>
    <t xml:space="preserve">Roll Composition</t>
  </si>
  <si>
    <t xml:space="preserve">Urethane</t>
  </si>
  <si>
    <t xml:space="preserve">Non-wood Shingles</t>
  </si>
  <si>
    <t xml:space="preserve">Gypsum</t>
  </si>
  <si>
    <t xml:space="preserve">Solar</t>
  </si>
  <si>
    <t xml:space="preserve">Cement Tile</t>
  </si>
  <si>
    <t xml:space="preserve">Composition Tile</t>
  </si>
  <si>
    <t xml:space="preserve">Concrete Deck</t>
  </si>
  <si>
    <t xml:space="preserve">Galvanized Sheet Metal</t>
  </si>
  <si>
    <t xml:space="preserve">Precast Concrete</t>
  </si>
  <si>
    <t xml:space="preserve">Reinforced Concrete</t>
  </si>
  <si>
    <t xml:space="preserve">Rubber</t>
  </si>
  <si>
    <t xml:space="preserve">Tar and Gravel Roll</t>
  </si>
  <si>
    <t xml:space="preserve">Gable</t>
  </si>
  <si>
    <t xml:space="preserve">Bowstring Truss</t>
  </si>
  <si>
    <t xml:space="preserve">Steel Frame or Truss</t>
  </si>
  <si>
    <t xml:space="preserve">Flat</t>
  </si>
  <si>
    <t xml:space="preserve">Gable or Hip</t>
  </si>
  <si>
    <t xml:space="preserve">Hip</t>
  </si>
  <si>
    <t xml:space="preserve">Cathedral</t>
  </si>
  <si>
    <t xml:space="preserve">Gambrel</t>
  </si>
  <si>
    <t xml:space="preserve">Mansard</t>
  </si>
  <si>
    <t xml:space="preserve">Prestress Concrete</t>
  </si>
  <si>
    <t xml:space="preserve">Rigid Frame Bar Joist</t>
  </si>
  <si>
    <t xml:space="preserve">Shed</t>
  </si>
  <si>
    <t xml:space="preserve">Sawtooth</t>
  </si>
  <si>
    <t xml:space="preserve">Wood Truss</t>
  </si>
  <si>
    <t xml:space="preserve">Barrel</t>
  </si>
  <si>
    <t xml:space="preserve">Butterfly</t>
  </si>
  <si>
    <t xml:space="preserve">Dormer</t>
  </si>
  <si>
    <t xml:space="preserve">Gambrel Or Mansard</t>
  </si>
  <si>
    <t xml:space="preserve">Monitor</t>
  </si>
  <si>
    <t xml:space="preserve">Baseboard</t>
  </si>
  <si>
    <t xml:space="preserve">Electric</t>
  </si>
  <si>
    <t xml:space="preserve">Central</t>
  </si>
  <si>
    <t xml:space="preserve">Forced Air Unit</t>
  </si>
  <si>
    <t xml:space="preserve">Oil</t>
  </si>
  <si>
    <t xml:space="preserve">Floor or Wall</t>
  </si>
  <si>
    <t xml:space="preserve">Gravity</t>
  </si>
  <si>
    <t xml:space="preserve">Heat Pump</t>
  </si>
  <si>
    <t xml:space="preserve">Geothermal</t>
  </si>
  <si>
    <t xml:space="preserve">Hot Water</t>
  </si>
  <si>
    <t xml:space="preserve">Gas</t>
  </si>
  <si>
    <t xml:space="preserve">Partial</t>
  </si>
  <si>
    <t xml:space="preserve">Radiant</t>
  </si>
  <si>
    <t xml:space="preserve">Steam</t>
  </si>
  <si>
    <t xml:space="preserve">Coal</t>
  </si>
  <si>
    <t xml:space="preserve">Space or Suspended</t>
  </si>
  <si>
    <t xml:space="preserve">Convection</t>
  </si>
  <si>
    <t xml:space="preserve">Vent</t>
  </si>
  <si>
    <t xml:space="preserve">Wood Burning</t>
  </si>
  <si>
    <t xml:space="preserve">Propane</t>
  </si>
  <si>
    <t xml:space="preserve">Zone</t>
  </si>
  <si>
    <t xml:space="preserve">Coal and Wood</t>
  </si>
  <si>
    <t xml:space="preserve">Electric and Hot Water</t>
  </si>
  <si>
    <t xml:space="preserve">Electric and Oil</t>
  </si>
  <si>
    <t xml:space="preserve">Electric and Radiant</t>
  </si>
  <si>
    <t xml:space="preserve">Electric and Solar</t>
  </si>
  <si>
    <t xml:space="preserve">Gas and Solar</t>
  </si>
  <si>
    <t xml:space="preserve">Gas and Wood</t>
  </si>
  <si>
    <t xml:space="preserve">Jet</t>
  </si>
  <si>
    <t xml:space="preserve">Oil and Wood</t>
  </si>
  <si>
    <t xml:space="preserve">Packaged</t>
  </si>
  <si>
    <t xml:space="preserve">Radiator</t>
  </si>
  <si>
    <t xml:space="preserve">Solar and Oil</t>
  </si>
  <si>
    <t xml:space="preserve">Solar, Coal, and Wood</t>
  </si>
  <si>
    <t xml:space="preserve">Stove</t>
  </si>
  <si>
    <t xml:space="preserve">Butane</t>
  </si>
  <si>
    <t xml:space="preserve">Coal, Wood, and Oil</t>
  </si>
  <si>
    <t xml:space="preserve">Gas and Steam</t>
  </si>
  <si>
    <t xml:space="preserve">Kerosene</t>
  </si>
  <si>
    <t xml:space="preserve">Oil and Solar</t>
  </si>
  <si>
    <t xml:space="preserve">Evaporative Cooler</t>
  </si>
  <si>
    <t xml:space="preserve">Office only</t>
  </si>
  <si>
    <t xml:space="preserve">Packaged Unit</t>
  </si>
  <si>
    <t xml:space="preserve">Window Unit</t>
  </si>
  <si>
    <t xml:space="preserve">Chilled Water</t>
  </si>
  <si>
    <t xml:space="preserve">Refrigeration</t>
  </si>
  <si>
    <t xml:space="preserve">Ventilation</t>
  </si>
  <si>
    <t xml:space="preserve">Wall</t>
  </si>
  <si>
    <t xml:space="preserve">Rooftop Packaged Unit</t>
  </si>
  <si>
    <t xml:space="preserve">Full Daylight</t>
  </si>
  <si>
    <t xml:space="preserve">Full Basement</t>
  </si>
  <si>
    <t xml:space="preserve">Improved Basement</t>
  </si>
  <si>
    <t xml:space="preserve">Partial Daylight</t>
  </si>
  <si>
    <t xml:space="preserve">Partial Basement</t>
  </si>
  <si>
    <t xml:space="preserve">Unfinished Basement</t>
  </si>
  <si>
    <t xml:space="preserve">Daylight or Walkout</t>
  </si>
  <si>
    <t xml:space="preserve">Crawl Space</t>
  </si>
  <si>
    <t xml:space="preserve">Excellent</t>
  </si>
  <si>
    <t xml:space="preserve">Fair</t>
  </si>
  <si>
    <t xml:space="preserve">Good</t>
  </si>
  <si>
    <t xml:space="preserve">Poor</t>
  </si>
  <si>
    <t xml:space="preserve">Unsound</t>
  </si>
  <si>
    <t xml:space="preserve">Average</t>
  </si>
  <si>
    <t xml:space="preserve">Damaged</t>
  </si>
  <si>
    <t xml:space="preserve">Dirt</t>
  </si>
  <si>
    <t xml:space="preserve">Floating Floor</t>
  </si>
  <si>
    <t xml:space="preserve">Cork</t>
  </si>
  <si>
    <t xml:space="preserve">Faux Wood Tile</t>
  </si>
  <si>
    <t xml:space="preserve">Softwood</t>
  </si>
  <si>
    <t xml:space="preserve">Linoleum</t>
  </si>
  <si>
    <t xml:space="preserve">Carpet</t>
  </si>
  <si>
    <t xml:space="preserve">Parquet</t>
  </si>
  <si>
    <t xml:space="preserve">Ceramic</t>
  </si>
  <si>
    <t xml:space="preserve">Finished Wood</t>
  </si>
  <si>
    <t xml:space="preserve">Terrazzo</t>
  </si>
  <si>
    <t xml:space="preserve">Acrylic</t>
  </si>
  <si>
    <t xml:space="preserve">Cinderblock</t>
  </si>
  <si>
    <t xml:space="preserve">Gravel</t>
  </si>
  <si>
    <t xml:space="preserve">Metal Deck</t>
  </si>
  <si>
    <t xml:space="preserve">Metal Grating</t>
  </si>
  <si>
    <t xml:space="preserve">Reinforced Concrete Flat Slab</t>
  </si>
  <si>
    <t xml:space="preserve">Finished</t>
  </si>
  <si>
    <t xml:space="preserve">Gypsum Board</t>
  </si>
  <si>
    <t xml:space="preserve">Decorative</t>
  </si>
  <si>
    <t xml:space="preserve">Cement Board</t>
  </si>
  <si>
    <t xml:space="preserve">Paneling</t>
  </si>
  <si>
    <t xml:space="preserve">Cistern</t>
  </si>
  <si>
    <t xml:space="preserve">Municipal</t>
  </si>
  <si>
    <t xml:space="preserve">Private</t>
  </si>
  <si>
    <t xml:space="preserve">Spring</t>
  </si>
  <si>
    <t xml:space="preserve">Well</t>
  </si>
  <si>
    <t xml:space="preserve">Storm</t>
  </si>
  <si>
    <t xml:space="preserve">Septic</t>
  </si>
  <si>
    <t xml:space="preserve">...+A (attic)</t>
  </si>
  <si>
    <t xml:space="preserve">...+AB (attic and basement)</t>
  </si>
  <si>
    <t xml:space="preserve">...+B (basement)</t>
  </si>
  <si>
    <t xml:space="preserve">.../L (split levels)</t>
  </si>
  <si>
    <t xml:space="preserve">B/L (bilevel)</t>
  </si>
  <si>
    <t xml:space="preserve">S/E (split entry)</t>
  </si>
  <si>
    <t xml:space="preserve">S/F (split foyer)</t>
  </si>
  <si>
    <t xml:space="preserve">S/L (split level)</t>
  </si>
  <si>
    <t xml:space="preserve">Lanai</t>
  </si>
  <si>
    <t xml:space="preserve">Breakfast Nook</t>
  </si>
  <si>
    <t xml:space="preserve">Cellar</t>
  </si>
  <si>
    <t xml:space="preserve">Mud Room</t>
  </si>
  <si>
    <t xml:space="preserve">Family Room or Den</t>
  </si>
  <si>
    <t xml:space="preserve">Recreation Room</t>
  </si>
  <si>
    <t xml:space="preserve">Hobby Room</t>
  </si>
  <si>
    <t xml:space="preserve">Sitting Room</t>
  </si>
  <si>
    <t xml:space="preserve">Laundry Room</t>
  </si>
  <si>
    <t xml:space="preserve">Media Room</t>
  </si>
  <si>
    <t xml:space="preserve">Bonus Room</t>
  </si>
  <si>
    <t xml:space="preserve">Home Office</t>
  </si>
  <si>
    <t xml:space="preserve">Atrium</t>
  </si>
  <si>
    <t xml:space="preserve">Sun Room</t>
  </si>
  <si>
    <t xml:space="preserve">Great Room</t>
  </si>
  <si>
    <t xml:space="preserve">Study</t>
  </si>
  <si>
    <t xml:space="preserve">Home Gym</t>
  </si>
  <si>
    <t xml:space="preserve">Utility Room</t>
  </si>
  <si>
    <t xml:space="preserve">Arbor or Pergola</t>
  </si>
  <si>
    <t xml:space="preserve">Mobile Home Hookup</t>
  </si>
  <si>
    <t xml:space="preserve">Sauna or Steam Room</t>
  </si>
  <si>
    <t xml:space="preserve">Alarm System</t>
  </si>
  <si>
    <t xml:space="preserve">Boat Dock, Slip, or Ramp</t>
  </si>
  <si>
    <t xml:space="preserve">Club House</t>
  </si>
  <si>
    <t xml:space="preserve">Wet Bar</t>
  </si>
  <si>
    <t xml:space="preserve">Intercom System</t>
  </si>
  <si>
    <t xml:space="preserve">Safe Room</t>
  </si>
  <si>
    <t xml:space="preserve">Golf Course or Green</t>
  </si>
  <si>
    <t xml:space="preserve">Sound System</t>
  </si>
  <si>
    <t xml:space="preserve">Fire Sprinklers</t>
  </si>
  <si>
    <t xml:space="preserve">Davits or Boat Lift</t>
  </si>
  <si>
    <t xml:space="preserve">Outdoor Kitchen or Fireplace</t>
  </si>
  <si>
    <t xml:space="preserve">Storm Cellar</t>
  </si>
  <si>
    <t xml:space="preserve">Smoke or Carbon Monoxide Detector</t>
  </si>
  <si>
    <t xml:space="preserve">Wine Cellar</t>
  </si>
  <si>
    <t xml:space="preserve">Sports Court</t>
  </si>
  <si>
    <t xml:space="preserve">Treehouse or Playhouse</t>
  </si>
  <si>
    <t xml:space="preserve">Handicap Accessible</t>
  </si>
  <si>
    <t xml:space="preserve">RV Parking</t>
  </si>
  <si>
    <t xml:space="preserve">Automatic Sprinkler Irrigation System</t>
  </si>
  <si>
    <t xml:space="preserve">Tennis Court</t>
  </si>
  <si>
    <t xml:space="preserve">Overhead Garage Door</t>
  </si>
  <si>
    <t xml:space="preserve">Central Vacuum System</t>
  </si>
  <si>
    <t xml:space="preserve">Water Feature</t>
  </si>
  <si>
    <t xml:space="preserve">Storm or Security Shutters</t>
  </si>
  <si>
    <t xml:space="preserve">Koi Pond</t>
  </si>
  <si>
    <t xml:space="preserve">other_areas</t>
  </si>
  <si>
    <t xml:space="preserve">1st Floor</t>
  </si>
  <si>
    <t xml:space="preserve">2nd Floor</t>
  </si>
  <si>
    <t xml:space="preserve">3rd Floor</t>
  </si>
  <si>
    <t xml:space="preserve">4th Floor</t>
  </si>
  <si>
    <t xml:space="preserve">5th Floor</t>
  </si>
  <si>
    <t xml:space="preserve">6th Floor</t>
  </si>
  <si>
    <t xml:space="preserve">7th Floor</t>
  </si>
  <si>
    <t xml:space="preserve">8th Floor</t>
  </si>
  <si>
    <t xml:space="preserve">9th Floor</t>
  </si>
  <si>
    <t xml:space="preserve">1st Floor Finished</t>
  </si>
  <si>
    <t xml:space="preserve">1st Floor Unfinished</t>
  </si>
  <si>
    <t xml:space="preserve">Apartment 1st Floor</t>
  </si>
  <si>
    <t xml:space="preserve">2nd Floor Finished</t>
  </si>
  <si>
    <t xml:space="preserve">2nd Floor Unfinished</t>
  </si>
  <si>
    <t xml:space="preserve">Apartment 2nd Floor</t>
  </si>
  <si>
    <t xml:space="preserve">3rd Floor Finished</t>
  </si>
  <si>
    <t xml:space="preserve">3rd Floor Unfinished</t>
  </si>
  <si>
    <t xml:space="preserve">Apartment 3rd Floor</t>
  </si>
  <si>
    <t xml:space="preserve">4th Floor Finished</t>
  </si>
  <si>
    <t xml:space="preserve">4th Floor Unfinished</t>
  </si>
  <si>
    <t xml:space="preserve">Apartment 4th Floor</t>
  </si>
  <si>
    <t xml:space="preserve">5th Floor Finished</t>
  </si>
  <si>
    <t xml:space="preserve">5th Floor Unfinished</t>
  </si>
  <si>
    <t xml:space="preserve">Apartment 5th Floor</t>
  </si>
  <si>
    <t xml:space="preserve">6th Floor Finished</t>
  </si>
  <si>
    <t xml:space="preserve">6th Floor Unfinished</t>
  </si>
  <si>
    <t xml:space="preserve">Apartment 6th Floor</t>
  </si>
  <si>
    <t xml:space="preserve">7th Floor Finished</t>
  </si>
  <si>
    <t xml:space="preserve">7th Floor Unfinished</t>
  </si>
  <si>
    <t xml:space="preserve">Apartment 7th Floor</t>
  </si>
  <si>
    <t xml:space="preserve">8th Floor Finished</t>
  </si>
  <si>
    <t xml:space="preserve">8th Floor Unfinished</t>
  </si>
  <si>
    <t xml:space="preserve">Apartment 8th Floor</t>
  </si>
  <si>
    <t xml:space="preserve">9th Floor Finished</t>
  </si>
  <si>
    <t xml:space="preserve">9th Floor Unfinished</t>
  </si>
  <si>
    <t xml:space="preserve">Apartment 9th Floor</t>
  </si>
  <si>
    <t xml:space="preserve">Attic</t>
  </si>
  <si>
    <t xml:space="preserve">Attic Finished</t>
  </si>
  <si>
    <t xml:space="preserve">Attic Unfinished</t>
  </si>
  <si>
    <t xml:space="preserve">Base Area</t>
  </si>
  <si>
    <t xml:space="preserve">Base Area Finished</t>
  </si>
  <si>
    <t xml:space="preserve">Base Area Unfinished</t>
  </si>
  <si>
    <t xml:space="preserve">Breezeway</t>
  </si>
  <si>
    <t xml:space="preserve">Balcony or Overhang</t>
  </si>
  <si>
    <t xml:space="preserve">Heated Area</t>
  </si>
  <si>
    <t xml:space="preserve">Loft</t>
  </si>
  <si>
    <t xml:space="preserve">Garage with Loft</t>
  </si>
  <si>
    <t xml:space="preserve">Garage Apartment</t>
  </si>
  <si>
    <t xml:space="preserve">Chattahoochee Porch</t>
  </si>
  <si>
    <t xml:space="preserve">Effective Area</t>
  </si>
  <si>
    <t xml:space="preserve">Adjusted Area</t>
  </si>
  <si>
    <t xml:space="preserve">Finished Area</t>
  </si>
  <si>
    <t xml:space="preserve">Living Area</t>
  </si>
  <si>
    <t xml:space="preserve">Lower Level</t>
  </si>
  <si>
    <t xml:space="preserve">Building Perimeter</t>
  </si>
  <si>
    <t xml:space="preserve">Canopy or Awning</t>
  </si>
  <si>
    <t xml:space="preserve">Office Area</t>
  </si>
  <si>
    <t xml:space="preserve">Porch or Stoop</t>
  </si>
  <si>
    <t xml:space="preserve">Covered Porch</t>
  </si>
  <si>
    <t xml:space="preserve">Enclosed Porch</t>
  </si>
  <si>
    <t xml:space="preserve">Glass Enclosed Porch</t>
  </si>
  <si>
    <t xml:space="preserve">Uncovered Porch</t>
  </si>
  <si>
    <t xml:space="preserve">Portico</t>
  </si>
  <si>
    <t xml:space="preserve">Screened Porch</t>
  </si>
  <si>
    <t xml:space="preserve">Manufacturing</t>
  </si>
  <si>
    <t xml:space="preserve">Gross Area</t>
  </si>
  <si>
    <t xml:space="preserve">Utility or Storage Room</t>
  </si>
  <si>
    <t xml:space="preserve">Total Area</t>
  </si>
  <si>
    <t xml:space="preserve">Upper Story</t>
  </si>
  <si>
    <t xml:space="preserve">Vestibule</t>
  </si>
  <si>
    <t xml:space="preserve">Basement</t>
  </si>
  <si>
    <t xml:space="preserve">Basement Finished</t>
  </si>
  <si>
    <t xml:space="preserve">Basement Unfinished</t>
  </si>
  <si>
    <t xml:space="preserve">Apartment</t>
  </si>
  <si>
    <t xml:space="preserve">Partial story</t>
  </si>
  <si>
    <t xml:space="preserve">Mezzanine</t>
  </si>
  <si>
    <t xml:space="preserve">other_features</t>
  </si>
  <si>
    <t xml:space="preserve">Billboard or Sign</t>
  </si>
  <si>
    <t xml:space="preserve">Bulkhead or Sea Wall</t>
  </si>
  <si>
    <t xml:space="preserve">Courtyard</t>
  </si>
  <si>
    <t xml:space="preserve">Driveway</t>
  </si>
  <si>
    <t xml:space="preserve">Asphalt Driveway</t>
  </si>
  <si>
    <t xml:space="preserve">Bomanite Driveway</t>
  </si>
  <si>
    <t xml:space="preserve">Chat Driveway</t>
  </si>
  <si>
    <t xml:space="preserve">Brick Driveway</t>
  </si>
  <si>
    <t xml:space="preserve">Concrete Driveway</t>
  </si>
  <si>
    <t xml:space="preserve">Paver Driveway</t>
  </si>
  <si>
    <t xml:space="preserve">Gravel Driveway</t>
  </si>
  <si>
    <t xml:space="preserve">Tile Driveway</t>
  </si>
  <si>
    <t xml:space="preserve">Enclosure</t>
  </si>
  <si>
    <t xml:space="preserve">Fence</t>
  </si>
  <si>
    <t xml:space="preserve">Barbed Wire Fence</t>
  </si>
  <si>
    <t xml:space="preserve">Chain-link Fence</t>
  </si>
  <si>
    <t xml:space="preserve">Iron Fence</t>
  </si>
  <si>
    <t xml:space="preserve">Brick Fence or Wall</t>
  </si>
  <si>
    <t xml:space="preserve">Concrete Block Fence or Wall</t>
  </si>
  <si>
    <t xml:space="preserve">Metal Fence</t>
  </si>
  <si>
    <t xml:space="preserve">Picket Fence</t>
  </si>
  <si>
    <t xml:space="preserve">Rail Fence</t>
  </si>
  <si>
    <t xml:space="preserve">Stockade Fence</t>
  </si>
  <si>
    <t xml:space="preserve">Stone Fence or Wall</t>
  </si>
  <si>
    <t xml:space="preserve">Vinyl Fence</t>
  </si>
  <si>
    <t xml:space="preserve">Wood Fence</t>
  </si>
  <si>
    <t xml:space="preserve">Combination Fence</t>
  </si>
  <si>
    <t xml:space="preserve">Paving</t>
  </si>
  <si>
    <t xml:space="preserve">Asphalt Paving</t>
  </si>
  <si>
    <t xml:space="preserve">Concrete Paving</t>
  </si>
  <si>
    <t xml:space="preserve">Pavers</t>
  </si>
  <si>
    <t xml:space="preserve">Railroad Spur or Switch</t>
  </si>
  <si>
    <t xml:space="preserve">Sidewalk</t>
  </si>
  <si>
    <t xml:space="preserve">Screened Enclosure</t>
  </si>
  <si>
    <t xml:space="preserve">Skyway</t>
  </si>
  <si>
    <t xml:space="preserve">Cell Site, Tower, or Antenna</t>
  </si>
  <si>
    <t xml:space="preserve">Brick, Rock, or Masonry Wall</t>
  </si>
  <si>
    <t xml:space="preserve">other_improvements</t>
  </si>
  <si>
    <t xml:space="preserve">Arena</t>
  </si>
  <si>
    <t xml:space="preserve">Bath House</t>
  </si>
  <si>
    <t xml:space="preserve">Cabin</t>
  </si>
  <si>
    <t xml:space="preserve">Wood Deck</t>
  </si>
  <si>
    <t xml:space="preserve">Boathouse</t>
  </si>
  <si>
    <t xml:space="preserve">Greenhouse</t>
  </si>
  <si>
    <t xml:space="preserve">Pool House or Cabana</t>
  </si>
  <si>
    <t xml:space="preserve">Hangar</t>
  </si>
  <si>
    <t xml:space="preserve">Hog House</t>
  </si>
  <si>
    <t xml:space="preserve">Silo</t>
  </si>
  <si>
    <t xml:space="preserve">Lean-to</t>
  </si>
  <si>
    <t xml:space="preserve">Stable</t>
  </si>
  <si>
    <t xml:space="preserve">Milking Parlor</t>
  </si>
  <si>
    <t xml:space="preserve">Screened Patio</t>
  </si>
  <si>
    <t xml:space="preserve">Poultry House</t>
  </si>
  <si>
    <t xml:space="preserve">Pavilion</t>
  </si>
  <si>
    <t xml:space="preserve">Pergola</t>
  </si>
  <si>
    <t xml:space="preserve">Well or Pump House</t>
  </si>
  <si>
    <t xml:space="preserve">Quonset</t>
  </si>
  <si>
    <t xml:space="preserve">Granary or Grain Bin</t>
  </si>
  <si>
    <t xml:space="preserve">Storage Building</t>
  </si>
  <si>
    <t xml:space="preserve">Workshop</t>
  </si>
  <si>
    <t xml:space="preserve">Patio</t>
  </si>
  <si>
    <t xml:space="preserve">Terrace</t>
  </si>
  <si>
    <t xml:space="preserve">Utility Building</t>
  </si>
  <si>
    <t xml:space="preserve">Pool Size</t>
  </si>
  <si>
    <t xml:space="preserve">Synthetic Deck</t>
  </si>
  <si>
    <t xml:space="preserve">Guest House</t>
  </si>
  <si>
    <t xml:space="preserve">Loading Platform</t>
  </si>
  <si>
    <t xml:space="preserve">Gazebo</t>
  </si>
  <si>
    <t xml:space="preserve">taxes</t>
  </si>
  <si>
    <t xml:space="preserve">Agricultural</t>
  </si>
  <si>
    <t xml:space="preserve">Disabled</t>
  </si>
  <si>
    <t xml:space="preserve">Tax Exempt</t>
  </si>
  <si>
    <t xml:space="preserve">Senior Citizen</t>
  </si>
  <si>
    <t xml:space="preserve">Government</t>
  </si>
  <si>
    <t xml:space="preserve">Low Income</t>
  </si>
  <si>
    <t xml:space="preserve">Partial Exempt</t>
  </si>
  <si>
    <t xml:space="preserve">Head of Household</t>
  </si>
  <si>
    <t xml:space="preserve">Library or Museum</t>
  </si>
  <si>
    <t xml:space="preserve">Miscellaneous</t>
  </si>
  <si>
    <t xml:space="preserve">Non-profit</t>
  </si>
  <si>
    <t xml:space="preserve">Public Utilities</t>
  </si>
  <si>
    <t xml:space="preserve">Charitable or Fraternal Organization</t>
  </si>
  <si>
    <t xml:space="preserve">Religious or Related</t>
  </si>
  <si>
    <t xml:space="preserve">School or College</t>
  </si>
  <si>
    <t xml:space="preserve">Hospital or Medical Related</t>
  </si>
  <si>
    <t xml:space="preserve">Redevelopment Agency</t>
  </si>
  <si>
    <t xml:space="preserve">Veteran</t>
  </si>
  <si>
    <t xml:space="preserve">Welfare</t>
  </si>
  <si>
    <t xml:space="preserve">Railroad</t>
  </si>
  <si>
    <t xml:space="preserve">Native American</t>
  </si>
  <si>
    <t xml:space="preserve">Widowed</t>
  </si>
  <si>
    <t xml:space="preserve">deeds</t>
  </si>
  <si>
    <t xml:space="preserve">Assignment of Sub Agreement of Sale</t>
  </si>
  <si>
    <t xml:space="preserve">Assignment of Sub Lease</t>
  </si>
  <si>
    <t xml:space="preserve">Assignment of Commercial Lease</t>
  </si>
  <si>
    <t xml:space="preserve">Administrator’s Deed</t>
  </si>
  <si>
    <t xml:space="preserve">Affidavit</t>
  </si>
  <si>
    <t xml:space="preserve">Agreement of Sale</t>
  </si>
  <si>
    <t xml:space="preserve">Arm's Length Quit Claim Deed</t>
  </si>
  <si>
    <t xml:space="preserve">Assessor Sales History</t>
  </si>
  <si>
    <t xml:space="preserve">Assignment of Agreement of Sale</t>
  </si>
  <si>
    <t xml:space="preserve">Assignment Deed</t>
  </si>
  <si>
    <t xml:space="preserve">Affidavit of Trust or Trust Agreement</t>
  </si>
  <si>
    <t xml:space="preserve">Assignment of Sub Commercial Lease</t>
  </si>
  <si>
    <t xml:space="preserve">Beneficiary Deed</t>
  </si>
  <si>
    <t xml:space="preserve">Bargain and Sale Deed</t>
  </si>
  <si>
    <t xml:space="preserve">Commissioners Assignment of Lease</t>
  </si>
  <si>
    <t xml:space="preserve">Condominium Deed</t>
  </si>
  <si>
    <t xml:space="preserve">Cash Sale Deed</t>
  </si>
  <si>
    <t xml:space="preserve">Commercial Lease</t>
  </si>
  <si>
    <t xml:space="preserve">Commissioner’s Deed</t>
  </si>
  <si>
    <t xml:space="preserve">Cancellation of Agreement of Sale</t>
  </si>
  <si>
    <t xml:space="preserve">Conservator’s Deed</t>
  </si>
  <si>
    <t xml:space="preserve">Corporation Deed</t>
  </si>
  <si>
    <t xml:space="preserve">Correction Deed</t>
  </si>
  <si>
    <t xml:space="preserve">Contract of Sale</t>
  </si>
  <si>
    <t xml:space="preserve">Certificate of Transfer</t>
  </si>
  <si>
    <t xml:space="preserve">Deed of Distribution</t>
  </si>
  <si>
    <t xml:space="preserve">Declaration</t>
  </si>
  <si>
    <t xml:space="preserve">Transfer on Death Deed</t>
  </si>
  <si>
    <t xml:space="preserve">Deed</t>
  </si>
  <si>
    <t xml:space="preserve">Deed of Guardian</t>
  </si>
  <si>
    <t xml:space="preserve">Divorce or Dissolution of Marriage Transfer</t>
  </si>
  <si>
    <t xml:space="preserve">Affidavit of Death</t>
  </si>
  <si>
    <t xml:space="preserve">Deed in Lieu of Foreclosure</t>
  </si>
  <si>
    <t xml:space="preserve">Distress Sale</t>
  </si>
  <si>
    <t xml:space="preserve">Affidavit of Death of Life Tenant</t>
  </si>
  <si>
    <t xml:space="preserve">Exchange</t>
  </si>
  <si>
    <t xml:space="preserve">Executor’s Deed</t>
  </si>
  <si>
    <t xml:space="preserve">Foreclosure</t>
  </si>
  <si>
    <t xml:space="preserve">Fiduciary Deed</t>
  </si>
  <si>
    <t xml:space="preserve">Grant Deed</t>
  </si>
  <si>
    <t xml:space="preserve">Gift Deed</t>
  </si>
  <si>
    <t xml:space="preserve">Ground Lease</t>
  </si>
  <si>
    <t xml:space="preserve">Individual Deed</t>
  </si>
  <si>
    <t xml:space="preserve">Intrafamily Transfer and Dissolution</t>
  </si>
  <si>
    <t xml:space="preserve">Joint Tenancy Deed</t>
  </si>
  <si>
    <t xml:space="preserve">Legal Action or Court Order</t>
  </si>
  <si>
    <t xml:space="preserve">Leasehold Conveyance with an Agreement of Sale and Fee Purchase</t>
  </si>
  <si>
    <t xml:space="preserve">Land Contract</t>
  </si>
  <si>
    <t xml:space="preserve">Lease</t>
  </si>
  <si>
    <t xml:space="preserve">Assignment of Lease</t>
  </si>
  <si>
    <t xml:space="preserve">Leasehold Conveyance with an Agreement of Sale</t>
  </si>
  <si>
    <t xml:space="preserve">Land Court</t>
  </si>
  <si>
    <t xml:space="preserve">Limited Warranty Deed</t>
  </si>
  <si>
    <t xml:space="preserve">Special Master Deed</t>
  </si>
  <si>
    <t xml:space="preserve">Public Auction</t>
  </si>
  <si>
    <t xml:space="preserve">Partnership Deed</t>
  </si>
  <si>
    <t xml:space="preserve">Personal Representative's Deed</t>
  </si>
  <si>
    <t xml:space="preserve">Quit Claim Deed</t>
  </si>
  <si>
    <t xml:space="preserve">Satisfaction of Land Contract (Wisconsin) or Satisfaction of Agreement of Sale for Fee Property (Hawaii)</t>
  </si>
  <si>
    <t xml:space="preserve">Receiver’s Deed</t>
  </si>
  <si>
    <t xml:space="preserve">Redemption Deed</t>
  </si>
  <si>
    <t xml:space="preserve">Referee’s Deed</t>
  </si>
  <si>
    <t xml:space="preserve">Satisfaction of Agreement of Sale for Leasehold</t>
  </si>
  <si>
    <t xml:space="preserve">Re-recorded Document</t>
  </si>
  <si>
    <t xml:space="preserve">Real Estate Owned Sale</t>
  </si>
  <si>
    <t xml:space="preserve">Sub Agreement of Sale</t>
  </si>
  <si>
    <t xml:space="preserve">Sub Commercial Lease</t>
  </si>
  <si>
    <t xml:space="preserve">Sheriff's Deed</t>
  </si>
  <si>
    <t xml:space="preserve">Sub Lease</t>
  </si>
  <si>
    <t xml:space="preserve">Death of Trustee Affidavit</t>
  </si>
  <si>
    <t xml:space="preserve">Survivorship Deed</t>
  </si>
  <si>
    <t xml:space="preserve">Special Warranty Deed</t>
  </si>
  <si>
    <t xml:space="preserve">Trustee's Deed</t>
  </si>
  <si>
    <t xml:space="preserve">Vendor’s Lien</t>
  </si>
  <si>
    <t xml:space="preserve">Warranty Deed</t>
  </si>
  <si>
    <t xml:space="preserve">Transaction History Record</t>
  </si>
  <si>
    <t xml:space="preserve">Committee Deed</t>
  </si>
  <si>
    <t xml:space="preserve">Construction Deed Of Trust</t>
  </si>
  <si>
    <t xml:space="preserve">Conveyance Deed</t>
  </si>
  <si>
    <t xml:space="preserve">Indemnity Deed Of Trust</t>
  </si>
  <si>
    <t xml:space="preserve">Intercompany Transfer</t>
  </si>
  <si>
    <t xml:space="preserve">Interfamily Transfer</t>
  </si>
  <si>
    <t xml:space="preserve">Interspousal Transfer</t>
  </si>
  <si>
    <t xml:space="preserve">Leasehold</t>
  </si>
  <si>
    <t xml:space="preserve">Marshal's Deed</t>
  </si>
  <si>
    <t xml:space="preserve">Straw Deed</t>
  </si>
  <si>
    <t xml:space="preserve">Full amount computed from transfer tax or excise tax</t>
  </si>
  <si>
    <t xml:space="preserve">Full amount stated on document</t>
  </si>
  <si>
    <t xml:space="preserve">Partial amount computed from transfer tax</t>
  </si>
  <si>
    <t xml:space="preserve">Sales price computed from transfer tax</t>
  </si>
  <si>
    <t xml:space="preserve">Comparable market value</t>
  </si>
  <si>
    <t xml:space="preserve">Full amount from assessment file when available</t>
  </si>
  <si>
    <t xml:space="preserve">Sales price or transfer tax is not public record</t>
  </si>
  <si>
    <t xml:space="preserve">From recorded affidavit of value or verified</t>
  </si>
  <si>
    <t xml:space="preserve">Assessor qualified sale</t>
  </si>
  <si>
    <t xml:space="preserve">Liens exceed value or assumption of loan</t>
  </si>
  <si>
    <t xml:space="preserve">Sales price amount or transfer tax to compute sales price is unreadable</t>
  </si>
  <si>
    <t xml:space="preserve">Insufficient information to calculate sales price from given transfer tax</t>
  </si>
  <si>
    <t xml:space="preserve">Non-arms length transaction</t>
  </si>
  <si>
    <t xml:space="preserve">Sales price or transfer tax rounded by county prior to computation</t>
  </si>
  <si>
    <t xml:space="preserve">Transfer tax on document indicated as exempt</t>
  </si>
  <si>
    <t xml:space="preserve">Document states price as '0', 'None', or 'No Consideration'</t>
  </si>
  <si>
    <t xml:space="preserve">Sales price computed using current excise tax rate for the given property city name appearing on the transfer record</t>
  </si>
  <si>
    <t xml:space="preserve">Amount of redemption</t>
  </si>
  <si>
    <t xml:space="preserve">Sales price computed from county transfer tax based on either full consideration or assessed value</t>
  </si>
  <si>
    <t xml:space="preserve">Judgment Amount</t>
  </si>
  <si>
    <t xml:space="preserve">Estimated</t>
  </si>
  <si>
    <t xml:space="preserve">Manually computed from the transfer tax</t>
  </si>
  <si>
    <t xml:space="preserve">Partial amount computed from transfer tax or full value is less than liens and encumbrances</t>
  </si>
  <si>
    <t xml:space="preserve">Assessor qualified the sales price as a comparable for mass appraisal applications</t>
  </si>
  <si>
    <t xml:space="preserve">Sold for taxes</t>
  </si>
  <si>
    <t xml:space="preserve">Sales price computed from transfer tax based on either full or partial consideration</t>
  </si>
  <si>
    <t xml:space="preserve">Sales price computed using current excise tax rate for the given property's city name appearing on the transfer record</t>
  </si>
  <si>
    <t xml:space="preserve">Document states that Price or transfer tax is not a matter of public record</t>
  </si>
  <si>
    <t xml:space="preserve">No</t>
  </si>
  <si>
    <t xml:space="preserve">Yes: Lender Selling</t>
  </si>
  <si>
    <t xml:space="preserve">Distress Sale: Notice of Default recorded within 6 months of sale</t>
  </si>
  <si>
    <t xml:space="preserve">Yes: Transferred to Another Lender or Insurer</t>
  </si>
  <si>
    <t xml:space="preserve">Bank</t>
  </si>
  <si>
    <t xml:space="preserve">Lender or Agent Role Undisclosed</t>
  </si>
  <si>
    <t xml:space="preserve">Et Al</t>
  </si>
  <si>
    <t xml:space="preserve">Finance Company</t>
  </si>
  <si>
    <t xml:space="preserve">Insurance</t>
  </si>
  <si>
    <t xml:space="preserve">Lending institution</t>
  </si>
  <si>
    <t xml:space="preserve">Mortgage company</t>
  </si>
  <si>
    <t xml:space="preserve">Not Known</t>
  </si>
  <si>
    <t xml:space="preserve">Private Party</t>
  </si>
  <si>
    <t xml:space="preserve">REO or Foreclosure Company</t>
  </si>
  <si>
    <t xml:space="preserve">Seller</t>
  </si>
  <si>
    <t xml:space="preserve">Credit Union</t>
  </si>
  <si>
    <t xml:space="preserve">Internet Storefront</t>
  </si>
  <si>
    <t xml:space="preserve">Subprime Lender</t>
  </si>
  <si>
    <t xml:space="preserve">Reverse Mortgage Lender</t>
  </si>
  <si>
    <t xml:space="preserve">Mortgage Electronic Registration System</t>
  </si>
  <si>
    <t xml:space="preserve">Stand Alone First</t>
  </si>
  <si>
    <t xml:space="preserve">Stand Alone Second</t>
  </si>
  <si>
    <t xml:space="preserve">Adjustable Rate Mortgage</t>
  </si>
  <si>
    <t xml:space="preserve">Aggregate Amount</t>
  </si>
  <si>
    <t xml:space="preserve">US Department of Agriculture</t>
  </si>
  <si>
    <t xml:space="preserve">Closed Mortgage</t>
  </si>
  <si>
    <t xml:space="preserve">Non Purchase Money Mortgage</t>
  </si>
  <si>
    <t xml:space="preserve">Small Business Association Participation Trust Deed</t>
  </si>
  <si>
    <t xml:space="preserve">Assumption</t>
  </si>
  <si>
    <t xml:space="preserve">Building or Construction Loan</t>
  </si>
  <si>
    <t xml:space="preserve">Cash</t>
  </si>
  <si>
    <t xml:space="preserve">2nd Mortgage made to cover Down Payment</t>
  </si>
  <si>
    <t xml:space="preserve">Revolving Credit</t>
  </si>
  <si>
    <t xml:space="preserve">Federal Housing Administration</t>
  </si>
  <si>
    <t xml:space="preserve">Fannie Mae or Freddie Mac</t>
  </si>
  <si>
    <t xml:space="preserve">Balloon</t>
  </si>
  <si>
    <t xml:space="preserve">Farmers Home Administration</t>
  </si>
  <si>
    <t xml:space="preserve">Negative Amortization</t>
  </si>
  <si>
    <t xml:space="preserve">Mortgage Modification</t>
  </si>
  <si>
    <t xml:space="preserve">New Conventional</t>
  </si>
  <si>
    <t xml:space="preserve">Purchase Money Mortgage</t>
  </si>
  <si>
    <t xml:space="preserve">Undefined or Multiple Amounts</t>
  </si>
  <si>
    <t xml:space="preserve">Refinance</t>
  </si>
  <si>
    <t xml:space="preserve">Seller take-back</t>
  </si>
  <si>
    <t xml:space="preserve">Unknown</t>
  </si>
  <si>
    <t xml:space="preserve">Veteran Affairs</t>
  </si>
  <si>
    <t xml:space="preserve">Future Advance Clause or Open-end Mortgage</t>
  </si>
  <si>
    <t xml:space="preserve">Trade</t>
  </si>
  <si>
    <t xml:space="preserve">State Veterans</t>
  </si>
  <si>
    <t xml:space="preserve">Reverse Mortgage</t>
  </si>
  <si>
    <t xml:space="preserve">Adjustable Rate</t>
  </si>
  <si>
    <t xml:space="preserve">All Inclusive Deed of Trust</t>
  </si>
  <si>
    <t xml:space="preserve">Fixed Rate</t>
  </si>
  <si>
    <t xml:space="preserve">Multiple Loan Amounts</t>
  </si>
  <si>
    <t xml:space="preserve">Step Interest Rate</t>
  </si>
  <si>
    <t xml:space="preserve">Variable</t>
  </si>
  <si>
    <t xml:space="preserve">Nonresidential Property Counts</t>
  </si>
  <si>
    <t xml:space="preserve">Nationwide</t>
  </si>
  <si>
    <t xml:space="preserve">AL</t>
  </si>
  <si>
    <t xml:space="preserve">AK</t>
  </si>
  <si>
    <t xml:space="preserve">AR</t>
  </si>
  <si>
    <t xml:space="preserve">CA</t>
  </si>
  <si>
    <t xml:space="preserve">DE</t>
  </si>
  <si>
    <t xml:space="preserve">DC</t>
  </si>
  <si>
    <t xml:space="preserve">HI</t>
  </si>
  <si>
    <t xml:space="preserve">ID</t>
  </si>
  <si>
    <t xml:space="preserve">IN</t>
  </si>
  <si>
    <t xml:space="preserve">IA</t>
  </si>
  <si>
    <t xml:space="preserve">KS</t>
  </si>
  <si>
    <t xml:space="preserve">LA</t>
  </si>
  <si>
    <t xml:space="preserve">ME</t>
  </si>
  <si>
    <t xml:space="preserve">MD</t>
  </si>
  <si>
    <t xml:space="preserve">MA</t>
  </si>
  <si>
    <t xml:space="preserve">MI</t>
  </si>
  <si>
    <t xml:space="preserve">MN</t>
  </si>
  <si>
    <t xml:space="preserve">MS</t>
  </si>
  <si>
    <t xml:space="preserve">MO</t>
  </si>
  <si>
    <t xml:space="preserve">NV</t>
  </si>
  <si>
    <t xml:space="preserve">NH</t>
  </si>
  <si>
    <t xml:space="preserve">NJ</t>
  </si>
  <si>
    <t xml:space="preserve">NM</t>
  </si>
  <si>
    <t xml:space="preserve">NY</t>
  </si>
  <si>
    <t xml:space="preserve">NC</t>
  </si>
  <si>
    <t xml:space="preserve">ND</t>
  </si>
  <si>
    <t xml:space="preserve">OH</t>
  </si>
  <si>
    <t xml:space="preserve">OK</t>
  </si>
  <si>
    <t xml:space="preserve">OR</t>
  </si>
  <si>
    <t xml:space="preserve">PA</t>
  </si>
  <si>
    <t xml:space="preserve">RI</t>
  </si>
  <si>
    <t xml:space="preserve">SC</t>
  </si>
  <si>
    <t xml:space="preserve">SD</t>
  </si>
  <si>
    <t xml:space="preserve">TN</t>
  </si>
  <si>
    <t xml:space="preserve">TX</t>
  </si>
  <si>
    <t xml:space="preserve">UT</t>
  </si>
  <si>
    <t xml:space="preserve">VT</t>
  </si>
  <si>
    <t xml:space="preserve">VA</t>
  </si>
  <si>
    <t xml:space="preserve">WA</t>
  </si>
  <si>
    <t xml:space="preserve">WV</t>
  </si>
  <si>
    <t xml:space="preserve">WI</t>
  </si>
  <si>
    <t xml:space="preserve">WY</t>
  </si>
  <si>
    <t xml:space="preserve">Property Count</t>
  </si>
  <si>
    <t xml:space="preserve">Addresses</t>
  </si>
  <si>
    <t xml:space="preserve">Parcels</t>
  </si>
  <si>
    <r>
      <rPr>
        <b val="true"/>
        <sz val="10"/>
        <color rgb="FF000000"/>
        <rFont val="Arial"/>
        <family val="0"/>
        <charset val="1"/>
      </rPr>
      <t xml:space="preserve">Other Areas - </t>
    </r>
    <r>
      <rPr>
        <i val="true"/>
        <sz val="10"/>
        <color rgb="FF000000"/>
        <rFont val="Arial"/>
        <family val="0"/>
        <charset val="1"/>
      </rPr>
      <t xml:space="preserve">(Number of properties with at least 1 record)</t>
    </r>
  </si>
  <si>
    <r>
      <rPr>
        <b val="true"/>
        <sz val="10"/>
        <color rgb="FF000000"/>
        <rFont val="Arial"/>
        <family val="0"/>
        <charset val="1"/>
      </rPr>
      <t xml:space="preserve">Other Features - </t>
    </r>
    <r>
      <rPr>
        <i val="true"/>
        <sz val="10"/>
        <color rgb="FF000000"/>
        <rFont val="Arial"/>
        <family val="0"/>
        <charset val="1"/>
      </rPr>
      <t xml:space="preserve">(Number of properties with at least 1 record)</t>
    </r>
  </si>
  <si>
    <r>
      <rPr>
        <b val="true"/>
        <sz val="10"/>
        <color rgb="FF000000"/>
        <rFont val="Arial"/>
        <family val="0"/>
        <charset val="1"/>
      </rPr>
      <t xml:space="preserve">Other Improvements - </t>
    </r>
    <r>
      <rPr>
        <i val="true"/>
        <sz val="10"/>
        <color rgb="FF000000"/>
        <rFont val="Arial"/>
        <family val="0"/>
        <charset val="1"/>
      </rPr>
      <t xml:space="preserve">(Number of properties with at least 1 record)</t>
    </r>
  </si>
  <si>
    <r>
      <rPr>
        <b val="true"/>
        <sz val="10"/>
        <color rgb="FF000000"/>
        <rFont val="Arial"/>
        <family val="0"/>
        <charset val="1"/>
      </rPr>
      <t xml:space="preserve">Taxes - </t>
    </r>
    <r>
      <rPr>
        <i val="true"/>
        <sz val="10"/>
        <color rgb="FF000000"/>
        <rFont val="Arial"/>
        <family val="0"/>
        <charset val="1"/>
      </rPr>
      <t xml:space="preserve">(Number of properties with at least 1 record)</t>
    </r>
  </si>
  <si>
    <r>
      <rPr>
        <b val="true"/>
        <sz val="10"/>
        <color rgb="FF000000"/>
        <rFont val="Arial"/>
        <family val="0"/>
        <charset val="1"/>
      </rPr>
      <t xml:space="preserve">Assessments - </t>
    </r>
    <r>
      <rPr>
        <sz val="10"/>
        <color rgb="FF000000"/>
        <rFont val="Arial"/>
        <family val="0"/>
        <charset val="1"/>
      </rPr>
      <t xml:space="preserve">(</t>
    </r>
    <r>
      <rPr>
        <i val="true"/>
        <sz val="10"/>
        <color rgb="FF000000"/>
        <rFont val="Arial"/>
        <family val="0"/>
        <charset val="1"/>
      </rPr>
      <t xml:space="preserve">Number of properties with at least 1 record)</t>
    </r>
  </si>
  <si>
    <r>
      <rPr>
        <b val="true"/>
        <sz val="10"/>
        <color rgb="FF000000"/>
        <rFont val="Arial"/>
        <family val="0"/>
        <charset val="1"/>
      </rPr>
      <t xml:space="preserve">Market Assessments - </t>
    </r>
    <r>
      <rPr>
        <i val="true"/>
        <sz val="10"/>
        <color rgb="FF000000"/>
        <rFont val="Arial"/>
        <family val="0"/>
        <charset val="1"/>
      </rPr>
      <t xml:space="preserve">(Number of properties with at least 1 record)</t>
    </r>
  </si>
  <si>
    <t xml:space="preserve">Valuations</t>
  </si>
  <si>
    <t xml:space="preserve">Owners</t>
  </si>
  <si>
    <r>
      <rPr>
        <b val="true"/>
        <sz val="10"/>
        <color rgb="FF000000"/>
        <rFont val="Arial"/>
        <family val="0"/>
        <charset val="1"/>
      </rPr>
      <t xml:space="preserve">Deeds - </t>
    </r>
    <r>
      <rPr>
        <i val="true"/>
        <sz val="10"/>
        <color rgb="FF000000"/>
        <rFont val="Arial"/>
        <family val="0"/>
        <charset val="1"/>
      </rPr>
      <t xml:space="preserve">(Number of properties with at least 1 record)</t>
    </r>
  </si>
  <si>
    <t xml:space="preserve">Boundaries</t>
  </si>
</sst>
</file>

<file path=xl/styles.xml><?xml version="1.0" encoding="utf-8"?>
<styleSheet xmlns="http://schemas.openxmlformats.org/spreadsheetml/2006/main">
  <numFmts count="4">
    <numFmt numFmtId="164" formatCode="General"/>
    <numFmt numFmtId="165" formatCode="yyyy/mm/dd"/>
    <numFmt numFmtId="166" formatCode="General"/>
    <numFmt numFmtId="167" formatCode="#,##0"/>
  </numFmts>
  <fonts count="16">
    <font>
      <sz val="10"/>
      <color rgb="FF000000"/>
      <name val="Arial"/>
      <family val="0"/>
      <charset val="1"/>
    </font>
    <font>
      <sz val="10"/>
      <name val="Arial"/>
      <family val="0"/>
    </font>
    <font>
      <sz val="10"/>
      <name val="Arial"/>
      <family val="0"/>
    </font>
    <font>
      <sz val="10"/>
      <name val="Arial"/>
      <family val="0"/>
    </font>
    <font>
      <sz val="10"/>
      <color rgb="FF000000"/>
      <name val="Arial"/>
      <family val="2"/>
      <charset val="1"/>
    </font>
    <font>
      <sz val="11"/>
      <color rgb="FF000000"/>
      <name val="Arial"/>
      <family val="2"/>
      <charset val="1"/>
    </font>
    <font>
      <b val="true"/>
      <sz val="11"/>
      <color rgb="FF000000"/>
      <name val="Arial"/>
      <family val="2"/>
      <charset val="1"/>
    </font>
    <font>
      <u val="single"/>
      <sz val="11"/>
      <color rgb="FF1155CC"/>
      <name val="Arial"/>
      <family val="2"/>
      <charset val="1"/>
    </font>
    <font>
      <b val="true"/>
      <sz val="11"/>
      <color rgb="FFFF0000"/>
      <name val="Arial"/>
      <family val="0"/>
      <charset val="1"/>
    </font>
    <font>
      <sz val="11"/>
      <color rgb="FF000000"/>
      <name val="Arial"/>
      <family val="0"/>
      <charset val="1"/>
    </font>
    <font>
      <b val="true"/>
      <sz val="11"/>
      <color rgb="FF000000"/>
      <name val="Arial"/>
      <family val="0"/>
      <charset val="1"/>
    </font>
    <font>
      <b val="true"/>
      <sz val="11"/>
      <name val="Cambria"/>
      <family val="0"/>
      <charset val="1"/>
    </font>
    <font>
      <u val="single"/>
      <sz val="11"/>
      <color rgb="FF1155CC"/>
      <name val="Cambria"/>
      <family val="0"/>
      <charset val="1"/>
    </font>
    <font>
      <b val="true"/>
      <sz val="11"/>
      <name val="Arial"/>
      <family val="2"/>
      <charset val="1"/>
    </font>
    <font>
      <b val="true"/>
      <sz val="10"/>
      <color rgb="FF000000"/>
      <name val="Arial"/>
      <family val="0"/>
      <charset val="1"/>
    </font>
    <font>
      <i val="true"/>
      <sz val="10"/>
      <color rgb="FF000000"/>
      <name val="Arial"/>
      <family val="0"/>
      <charset val="1"/>
    </font>
  </fonts>
  <fills count="6">
    <fill>
      <patternFill patternType="none"/>
    </fill>
    <fill>
      <patternFill patternType="gray125"/>
    </fill>
    <fill>
      <patternFill patternType="solid">
        <fgColor rgb="FFEFEFEF"/>
        <bgColor rgb="FFFFF2CC"/>
      </patternFill>
    </fill>
    <fill>
      <patternFill patternType="solid">
        <fgColor rgb="FFFFF2CC"/>
        <bgColor rgb="FFEFEFEF"/>
      </patternFill>
    </fill>
    <fill>
      <patternFill patternType="solid">
        <fgColor rgb="FFEA9999"/>
        <bgColor rgb="FFFF8080"/>
      </patternFill>
    </fill>
    <fill>
      <patternFill patternType="solid">
        <fgColor rgb="FFD9D9D9"/>
        <bgColor rgb="FFEFEFEF"/>
      </patternFill>
    </fill>
  </fills>
  <borders count="14">
    <border diagonalUp="false" diagonalDown="false">
      <left/>
      <right/>
      <top/>
      <bottom/>
      <diagonal/>
    </border>
    <border diagonalUp="false" diagonalDown="false">
      <left style="medium"/>
      <right style="medium"/>
      <top style="medium"/>
      <bottom/>
      <diagonal/>
    </border>
    <border diagonalUp="false" diagonalDown="false">
      <left/>
      <right style="medium"/>
      <top style="medium"/>
      <bottom/>
      <diagonal/>
    </border>
    <border diagonalUp="false" diagonalDown="false">
      <left style="medium"/>
      <right style="medium"/>
      <top/>
      <bottom/>
      <diagonal/>
    </border>
    <border diagonalUp="false" diagonalDown="false">
      <left/>
      <right style="medium"/>
      <top/>
      <botto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5" fillId="0" borderId="0" xfId="0" applyFont="true" applyBorder="false" applyAlignment="true" applyProtection="false">
      <alignment horizontal="left" vertical="bottom" textRotation="0" wrapText="tru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4" fontId="6" fillId="2" borderId="0" xfId="0" applyFont="true" applyBorder="tru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right" vertical="bottom" textRotation="0" wrapText="false" indent="0" shrinkToFit="false"/>
      <protection locked="true" hidden="false"/>
    </xf>
    <xf numFmtId="164" fontId="7" fillId="0" borderId="2" xfId="0" applyFont="true" applyBorder="true" applyAlignment="true" applyProtection="false">
      <alignment horizontal="general" vertical="bottom" textRotation="0" wrapText="true" indent="0" shrinkToFit="false"/>
      <protection locked="true" hidden="false"/>
    </xf>
    <xf numFmtId="164" fontId="6" fillId="0" borderId="3" xfId="0" applyFont="true" applyBorder="true" applyAlignment="true" applyProtection="false">
      <alignment horizontal="right" vertical="bottom" textRotation="0" wrapText="false" indent="0" shrinkToFit="false"/>
      <protection locked="true" hidden="false"/>
    </xf>
    <xf numFmtId="164" fontId="5" fillId="0" borderId="4" xfId="0" applyFont="true" applyBorder="true" applyAlignment="true" applyProtection="false">
      <alignment horizontal="general" vertical="bottom" textRotation="0" wrapText="true" indent="0" shrinkToFit="false"/>
      <protection locked="true" hidden="false"/>
    </xf>
    <xf numFmtId="164" fontId="6" fillId="0" borderId="5" xfId="0" applyFont="true" applyBorder="true" applyAlignment="true" applyProtection="false">
      <alignment horizontal="right" vertical="bottom" textRotation="0" wrapText="false" indent="0" shrinkToFit="false"/>
      <protection locked="true" hidden="false"/>
    </xf>
    <xf numFmtId="164" fontId="5" fillId="0" borderId="6" xfId="0" applyFont="true" applyBorder="true" applyAlignment="true" applyProtection="false">
      <alignment horizontal="general" vertical="bottom" textRotation="0" wrapText="true" indent="0" shrinkToFit="false"/>
      <protection locked="true" hidden="false"/>
    </xf>
    <xf numFmtId="164" fontId="8" fillId="3" borderId="7" xfId="0" applyFont="true" applyBorder="true" applyAlignment="true" applyProtection="false">
      <alignment horizontal="center" vertical="center" textRotation="0" wrapText="true" indent="0" shrinkToFit="false"/>
      <protection locked="true" hidden="false"/>
    </xf>
    <xf numFmtId="164" fontId="6" fillId="4" borderId="7" xfId="0" applyFont="true" applyBorder="true" applyAlignment="true" applyProtection="false">
      <alignment horizontal="general" vertical="bottom" textRotation="0" wrapText="false" indent="0" shrinkToFit="false"/>
      <protection locked="true" hidden="false"/>
    </xf>
    <xf numFmtId="164" fontId="6" fillId="5" borderId="8" xfId="0" applyFont="true" applyBorder="true" applyAlignment="true" applyProtection="false">
      <alignment horizontal="general" vertical="bottom" textRotation="0" wrapText="false" indent="0" shrinkToFit="false"/>
      <protection locked="true" hidden="false"/>
    </xf>
    <xf numFmtId="164" fontId="6" fillId="5" borderId="8" xfId="0" applyFont="true" applyBorder="true" applyAlignment="true" applyProtection="false">
      <alignment horizontal="general" vertical="bottom" textRotation="0" wrapText="true" indent="0" shrinkToFit="false"/>
      <protection locked="true" hidden="false"/>
    </xf>
    <xf numFmtId="164" fontId="6" fillId="5" borderId="8" xfId="0" applyFont="true" applyBorder="true" applyAlignment="true" applyProtection="false">
      <alignment horizontal="left" vertical="bottom" textRotation="0" wrapText="true" indent="0" shrinkToFit="false"/>
      <protection locked="true" hidden="false"/>
    </xf>
    <xf numFmtId="164" fontId="5" fillId="3" borderId="8" xfId="0" applyFont="true" applyBorder="true" applyAlignment="true" applyProtection="false">
      <alignment horizontal="general" vertical="bottom" textRotation="0" wrapText="false" indent="0" shrinkToFit="false"/>
      <protection locked="true" hidden="false"/>
    </xf>
    <xf numFmtId="164" fontId="5" fillId="3" borderId="8" xfId="0" applyFont="true" applyBorder="true" applyAlignment="true" applyProtection="false">
      <alignment horizontal="general" vertical="bottom" textRotation="0" wrapText="true" indent="0" shrinkToFit="false"/>
      <protection locked="true" hidden="false"/>
    </xf>
    <xf numFmtId="164" fontId="5" fillId="3" borderId="8" xfId="0" applyFont="true" applyBorder="true" applyAlignment="true" applyProtection="false">
      <alignment horizontal="left" vertical="bottom" textRotation="0" wrapText="true" indent="0" shrinkToFit="false"/>
      <protection locked="true" hidden="false"/>
    </xf>
    <xf numFmtId="164" fontId="5" fillId="0" borderId="8" xfId="0" applyFont="true" applyBorder="true" applyAlignment="true" applyProtection="false">
      <alignment horizontal="general" vertical="bottom" textRotation="0" wrapText="false" indent="0" shrinkToFit="false"/>
      <protection locked="true" hidden="false"/>
    </xf>
    <xf numFmtId="164" fontId="5" fillId="0" borderId="8" xfId="0" applyFont="true" applyBorder="true" applyAlignment="true" applyProtection="false">
      <alignment horizontal="general" vertical="bottom" textRotation="0" wrapText="true" indent="0" shrinkToFit="false"/>
      <protection locked="true" hidden="false"/>
    </xf>
    <xf numFmtId="165" fontId="5" fillId="0" borderId="8" xfId="0" applyFont="true" applyBorder="true" applyAlignment="true" applyProtection="false">
      <alignment horizontal="left" vertical="bottom" textRotation="0" wrapText="true" indent="0" shrinkToFit="false"/>
      <protection locked="true" hidden="false"/>
    </xf>
    <xf numFmtId="164" fontId="10" fillId="4" borderId="7" xfId="0" applyFont="true" applyBorder="true" applyAlignment="true" applyProtection="false">
      <alignment horizontal="general" vertical="bottom" textRotation="0" wrapText="false" indent="0" shrinkToFit="false"/>
      <protection locked="true" hidden="false"/>
    </xf>
    <xf numFmtId="164" fontId="5" fillId="0" borderId="9" xfId="0" applyFont="true" applyBorder="true" applyAlignment="true" applyProtection="false">
      <alignment horizontal="general" vertical="bottom" textRotation="0" wrapText="false" indent="0" shrinkToFit="false"/>
      <protection locked="true" hidden="false"/>
    </xf>
    <xf numFmtId="164" fontId="5" fillId="0" borderId="9" xfId="0" applyFont="true" applyBorder="true" applyAlignment="true" applyProtection="false">
      <alignment horizontal="general" vertical="bottom" textRotation="0" wrapText="true" indent="0" shrinkToFit="false"/>
      <protection locked="true" hidden="false"/>
    </xf>
    <xf numFmtId="164" fontId="5" fillId="0" borderId="9" xfId="0" applyFont="true" applyBorder="true" applyAlignment="true" applyProtection="false">
      <alignment horizontal="left" vertical="bottom" textRotation="0" wrapText="true" indent="0" shrinkToFit="false"/>
      <protection locked="true" hidden="false"/>
    </xf>
    <xf numFmtId="164" fontId="7" fillId="0" borderId="9" xfId="0" applyFont="true" applyBorder="true" applyAlignment="true" applyProtection="false">
      <alignment horizontal="left" vertical="bottom" textRotation="0" wrapText="tru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xf numFmtId="164" fontId="9" fillId="0" borderId="0" xfId="0" applyFont="true" applyBorder="false" applyAlignment="true" applyProtection="false">
      <alignment horizontal="left" vertical="bottom" textRotation="0" wrapText="true" indent="0" shrinkToFit="false"/>
      <protection locked="true" hidden="false"/>
    </xf>
    <xf numFmtId="164" fontId="10" fillId="2" borderId="0" xfId="0" applyFont="true" applyBorder="true" applyAlignment="tru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general" vertical="bottom" textRotation="0" wrapText="false" indent="0" shrinkToFit="false"/>
      <protection locked="true" hidden="false"/>
    </xf>
    <xf numFmtId="164" fontId="10" fillId="3" borderId="7"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false" applyAlignment="true" applyProtection="false">
      <alignment horizontal="general" vertical="bottom" textRotation="0" wrapText="false" indent="0" shrinkToFit="false"/>
      <protection locked="true" hidden="false"/>
    </xf>
    <xf numFmtId="164" fontId="10" fillId="5" borderId="8" xfId="0" applyFont="true" applyBorder="true" applyAlignment="true" applyProtection="false">
      <alignment horizontal="general" vertical="bottom" textRotation="0" wrapText="false" indent="0" shrinkToFit="false"/>
      <protection locked="true" hidden="false"/>
    </xf>
    <xf numFmtId="164" fontId="10" fillId="5" borderId="8" xfId="0" applyFont="true" applyBorder="true" applyAlignment="true" applyProtection="false">
      <alignment horizontal="general" vertical="bottom" textRotation="0" wrapText="true" indent="0" shrinkToFit="false"/>
      <protection locked="true" hidden="false"/>
    </xf>
    <xf numFmtId="164" fontId="10" fillId="5" borderId="8" xfId="0" applyFont="true" applyBorder="true" applyAlignment="true" applyProtection="false">
      <alignment horizontal="left" vertical="bottom" textRotation="0" wrapText="true" indent="0" shrinkToFit="false"/>
      <protection locked="true" hidden="false"/>
    </xf>
    <xf numFmtId="164" fontId="9" fillId="3" borderId="8" xfId="0" applyFont="true" applyBorder="true" applyAlignment="true" applyProtection="false">
      <alignment horizontal="general" vertical="bottom" textRotation="0" wrapText="false" indent="0" shrinkToFit="false"/>
      <protection locked="true" hidden="false"/>
    </xf>
    <xf numFmtId="164" fontId="9" fillId="3" borderId="8" xfId="0" applyFont="true" applyBorder="true" applyAlignment="true" applyProtection="false">
      <alignment horizontal="general" vertical="bottom" textRotation="0" wrapText="true" indent="0" shrinkToFit="false"/>
      <protection locked="true" hidden="false"/>
    </xf>
    <xf numFmtId="164" fontId="9" fillId="3" borderId="8" xfId="0" applyFont="true" applyBorder="true" applyAlignment="true" applyProtection="false">
      <alignment horizontal="left" vertical="bottom" textRotation="0" wrapText="true" indent="0" shrinkToFit="false"/>
      <protection locked="true" hidden="false"/>
    </xf>
    <xf numFmtId="164" fontId="9" fillId="0" borderId="9" xfId="0" applyFont="true" applyBorder="true" applyAlignment="true" applyProtection="false">
      <alignment horizontal="general" vertical="bottom" textRotation="0" wrapText="false" indent="0" shrinkToFit="false"/>
      <protection locked="true" hidden="false"/>
    </xf>
    <xf numFmtId="164" fontId="9" fillId="0" borderId="9" xfId="0" applyFont="true" applyBorder="true" applyAlignment="true" applyProtection="false">
      <alignment horizontal="general" vertical="bottom" textRotation="0" wrapText="true" indent="0" shrinkToFit="false"/>
      <protection locked="true" hidden="false"/>
    </xf>
    <xf numFmtId="164" fontId="9" fillId="0" borderId="9" xfId="0" applyFont="true" applyBorder="true" applyAlignment="true" applyProtection="false">
      <alignment horizontal="left" vertical="bottom" textRotation="0" wrapText="true" indent="0" shrinkToFit="false"/>
      <protection locked="true" hidden="false"/>
    </xf>
    <xf numFmtId="164" fontId="12" fillId="0" borderId="9" xfId="0" applyFont="true" applyBorder="true" applyAlignment="true" applyProtection="false">
      <alignment horizontal="left" vertical="bottom" textRotation="0" wrapText="true" indent="0" shrinkToFit="false"/>
      <protection locked="true" hidden="false"/>
    </xf>
    <xf numFmtId="164" fontId="6" fillId="3" borderId="7" xfId="0" applyFont="true" applyBorder="true" applyAlignment="true" applyProtection="false">
      <alignment horizontal="center" vertical="center" textRotation="0" wrapText="true" indent="0" shrinkToFit="false"/>
      <protection locked="true" hidden="false"/>
    </xf>
    <xf numFmtId="165" fontId="5" fillId="0" borderId="9" xfId="0" applyFont="true" applyBorder="true" applyAlignment="true" applyProtection="false">
      <alignment horizontal="left" vertical="bottom" textRotation="0" wrapText="true" indent="0" shrinkToFit="false"/>
      <protection locked="true" hidden="false"/>
    </xf>
    <xf numFmtId="164" fontId="13" fillId="0" borderId="0" xfId="0" applyFont="true" applyBorder="false" applyAlignment="tru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left" vertical="bottom"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6" fontId="9" fillId="0" borderId="0" xfId="0" applyFont="true" applyBorder="true" applyAlignment="true" applyProtection="false">
      <alignment horizontal="right" vertical="center" textRotation="0" wrapText="false" indent="0" shrinkToFit="false"/>
      <protection locked="true" hidden="false"/>
    </xf>
    <xf numFmtId="164" fontId="10" fillId="4" borderId="10" xfId="0" applyFont="true" applyBorder="true" applyAlignment="true" applyProtection="false">
      <alignment horizontal="general" vertical="bottom" textRotation="0" wrapText="false" indent="0" shrinkToFit="false"/>
      <protection locked="true" hidden="false"/>
    </xf>
    <xf numFmtId="164" fontId="10" fillId="4" borderId="10" xfId="0" applyFont="true" applyBorder="true" applyAlignment="true" applyProtection="false">
      <alignment horizontal="left" vertical="bottom" textRotation="0" wrapText="false" indent="0" shrinkToFit="false"/>
      <protection locked="true" hidden="false"/>
    </xf>
    <xf numFmtId="167" fontId="10" fillId="0" borderId="8" xfId="0" applyFont="true" applyBorder="true" applyAlignment="true" applyProtection="false">
      <alignment horizontal="general" vertical="bottom" textRotation="0" wrapText="false" indent="0" shrinkToFit="false"/>
      <protection locked="true" hidden="false"/>
    </xf>
    <xf numFmtId="167" fontId="10" fillId="0" borderId="8" xfId="0" applyFont="true" applyBorder="true" applyAlignment="true" applyProtection="false">
      <alignment horizontal="left" vertical="bottom" textRotation="0" wrapText="false" indent="0" shrinkToFit="false"/>
      <protection locked="true" hidden="false"/>
    </xf>
    <xf numFmtId="167" fontId="10" fillId="0" borderId="8" xfId="0" applyFont="true" applyBorder="true" applyAlignment="true" applyProtection="false">
      <alignment horizontal="right" vertical="bottom" textRotation="0" wrapText="true" indent="0" shrinkToFit="false"/>
      <protection locked="true" hidden="false"/>
    </xf>
    <xf numFmtId="167" fontId="10" fillId="0" borderId="8" xfId="0" applyFont="true" applyBorder="true" applyAlignment="true" applyProtection="false">
      <alignment horizontal="right" vertical="bottom" textRotation="0" wrapText="false" indent="0" shrinkToFit="false"/>
      <protection locked="true" hidden="false"/>
    </xf>
    <xf numFmtId="167" fontId="10" fillId="0" borderId="0" xfId="0" applyFont="true" applyBorder="false" applyAlignment="true" applyProtection="false">
      <alignment horizontal="left" vertical="bottom" textRotation="0" wrapText="false" indent="0" shrinkToFit="false"/>
      <protection locked="true" hidden="false"/>
    </xf>
    <xf numFmtId="167" fontId="9" fillId="0" borderId="0" xfId="0" applyFont="true" applyBorder="false" applyAlignment="true" applyProtection="false">
      <alignment horizontal="right" vertical="bottom" textRotation="0" wrapText="true" indent="0" shrinkToFit="false"/>
      <protection locked="true" hidden="false"/>
    </xf>
    <xf numFmtId="167" fontId="9" fillId="0" borderId="0" xfId="0" applyFont="true" applyBorder="false" applyAlignment="true" applyProtection="false">
      <alignment horizontal="right" vertical="bottom" textRotation="0" wrapText="false" indent="0" shrinkToFit="false"/>
      <protection locked="true" hidden="false"/>
    </xf>
    <xf numFmtId="164" fontId="14" fillId="5" borderId="10" xfId="0" applyFont="true" applyBorder="true" applyAlignment="true" applyProtection="false">
      <alignment horizontal="general" vertical="bottom" textRotation="0" wrapText="false" indent="0" shrinkToFit="false"/>
      <protection locked="true" hidden="false"/>
    </xf>
    <xf numFmtId="167" fontId="10" fillId="5" borderId="11" xfId="0" applyFont="true" applyBorder="true" applyAlignment="true" applyProtection="false">
      <alignment horizontal="left" vertical="bottom" textRotation="0" wrapText="false" indent="0" shrinkToFit="false"/>
      <protection locked="true" hidden="false"/>
    </xf>
    <xf numFmtId="167" fontId="10" fillId="5" borderId="11" xfId="0" applyFont="true" applyBorder="true" applyAlignment="true" applyProtection="false">
      <alignment horizontal="right" vertical="bottom" textRotation="0" wrapText="false" indent="0" shrinkToFit="false"/>
      <protection locked="true" hidden="false"/>
    </xf>
    <xf numFmtId="167" fontId="10" fillId="5" borderId="12" xfId="0" applyFont="true" applyBorder="true" applyAlignment="true" applyProtection="false">
      <alignment horizontal="right" vertical="bottom" textRotation="0" wrapText="false" indent="0" shrinkToFit="false"/>
      <protection locked="true" hidden="false"/>
    </xf>
    <xf numFmtId="166" fontId="9" fillId="0" borderId="13" xfId="0" applyFont="true" applyBorder="true" applyAlignment="true" applyProtection="false">
      <alignment horizontal="general" vertical="bottom" textRotation="0" wrapText="false" indent="0" shrinkToFit="false"/>
      <protection locked="true" hidden="false"/>
    </xf>
    <xf numFmtId="167" fontId="10" fillId="0" borderId="13" xfId="0" applyFont="true" applyBorder="true" applyAlignment="true" applyProtection="false">
      <alignment horizontal="left" vertical="bottom" textRotation="0" wrapText="false" indent="0" shrinkToFit="false"/>
      <protection locked="true" hidden="false"/>
    </xf>
    <xf numFmtId="167" fontId="9" fillId="0" borderId="13" xfId="0" applyFont="true" applyBorder="true" applyAlignment="true" applyProtection="false">
      <alignment horizontal="right" vertical="bottom" textRotation="0" wrapText="true" indent="0" shrinkToFit="false"/>
      <protection locked="true" hidden="false"/>
    </xf>
    <xf numFmtId="167" fontId="9" fillId="0" borderId="13" xfId="0" applyFont="true" applyBorder="true" applyAlignment="true" applyProtection="false">
      <alignment horizontal="right" vertical="bottom" textRotation="0" wrapText="false" indent="0" shrinkToFit="false"/>
      <protection locked="true" hidden="false"/>
    </xf>
    <xf numFmtId="167" fontId="9" fillId="0" borderId="9" xfId="0" applyFont="true" applyBorder="true" applyAlignment="true" applyProtection="false">
      <alignment horizontal="right" vertical="bottom" textRotation="0" wrapText="false" indent="0" shrinkToFit="false"/>
      <protection locked="true" hidden="false"/>
    </xf>
    <xf numFmtId="166" fontId="9" fillId="0" borderId="9" xfId="0" applyFont="true" applyBorder="true" applyAlignment="true" applyProtection="false">
      <alignment horizontal="general" vertical="bottom" textRotation="0" wrapText="false" indent="0" shrinkToFit="false"/>
      <protection locked="true" hidden="false"/>
    </xf>
    <xf numFmtId="167" fontId="10" fillId="0" borderId="9" xfId="0" applyFont="true" applyBorder="true" applyAlignment="true" applyProtection="false">
      <alignment horizontal="left" vertical="bottom" textRotation="0" wrapText="false" indent="0" shrinkToFit="false"/>
      <protection locked="true" hidden="false"/>
    </xf>
    <xf numFmtId="167" fontId="9" fillId="0" borderId="9" xfId="0" applyFont="true" applyBorder="true" applyAlignment="true" applyProtection="false">
      <alignment horizontal="right" vertical="bottom" textRotation="0" wrapText="true" indent="0" shrinkToFit="false"/>
      <protection locked="true" hidden="false"/>
    </xf>
    <xf numFmtId="164" fontId="14" fillId="5" borderId="11" xfId="0" applyFont="true" applyBorder="true" applyAlignment="true" applyProtection="false">
      <alignment horizontal="general" vertical="bottom" textRotation="0" wrapText="false" indent="0" shrinkToFit="false"/>
      <protection locked="true" hidden="false"/>
    </xf>
    <xf numFmtId="166" fontId="9" fillId="0" borderId="8" xfId="0" applyFont="true" applyBorder="true" applyAlignment="true" applyProtection="false">
      <alignment horizontal="general" vertical="bottom" textRotation="0" wrapText="false" indent="0" shrinkToFit="false"/>
      <protection locked="true" hidden="false"/>
    </xf>
    <xf numFmtId="167" fontId="9" fillId="0" borderId="8" xfId="0" applyFont="true" applyBorder="true" applyAlignment="true" applyProtection="false">
      <alignment horizontal="right" vertical="bottom" textRotation="0" wrapText="true" indent="0" shrinkToFit="false"/>
      <protection locked="true" hidden="false"/>
    </xf>
    <xf numFmtId="167" fontId="9" fillId="0" borderId="8" xfId="0" applyFont="true" applyBorder="true" applyAlignment="true" applyProtection="false">
      <alignment horizontal="right" vertical="bottom" textRotation="0" wrapText="false" indent="0" shrinkToFit="false"/>
      <protection locked="true" hidden="false"/>
    </xf>
    <xf numFmtId="166" fontId="9" fillId="0" borderId="9" xfId="0" applyFont="true" applyBorder="true" applyAlignment="false" applyProtection="false">
      <alignment horizontal="general" vertical="bottom" textRotation="0" wrapText="false" indent="0" shrinkToFit="false"/>
      <protection locked="true" hidden="false"/>
    </xf>
    <xf numFmtId="167" fontId="9" fillId="0" borderId="0" xfId="0" applyFont="true" applyBorder="false" applyAlignment="true" applyProtection="false">
      <alignment horizontal="general" vertical="bottom" textRotation="0" wrapText="true" indent="0" shrinkToFit="false"/>
      <protection locked="true" hidden="false"/>
    </xf>
    <xf numFmtId="167" fontId="9" fillId="0" borderId="0" xfId="0" applyFont="true" applyBorder="false" applyAlignment="true" applyProtection="false">
      <alignment horizontal="left" vertical="bottom" textRotation="0" wrapText="false" indent="0" shrinkToFit="false"/>
      <protection locked="true" hidden="false"/>
    </xf>
    <xf numFmtId="167" fontId="9" fillId="0" borderId="0" xfId="0" applyFont="true" applyBorder="false" applyAlignment="false" applyProtection="false">
      <alignment horizontal="general" vertical="bottom" textRotation="0" wrapText="false" indent="0" shrinkToFit="false"/>
      <protection locked="true" hidden="false"/>
    </xf>
    <xf numFmtId="167" fontId="9" fillId="0" borderId="9" xfId="0" applyFont="true" applyBorder="true" applyAlignment="true" applyProtection="false">
      <alignment horizontal="general" vertical="bottom" textRotation="0" wrapText="true" indent="0" shrinkToFit="false"/>
      <protection locked="true" hidden="false"/>
    </xf>
    <xf numFmtId="167" fontId="9" fillId="0" borderId="9" xfId="0" applyFont="true" applyBorder="true" applyAlignment="true" applyProtection="false">
      <alignment horizontal="left" vertical="bottom" textRotation="0" wrapText="false" indent="0" shrinkToFit="false"/>
      <protection locked="true" hidden="false"/>
    </xf>
    <xf numFmtId="167" fontId="9" fillId="0" borderId="9"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left"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EFEFE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1155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EA9999"/>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_rels/drawing3.xml.rels><?xml version="1.0" encoding="UTF-8"?>
<Relationships xmlns="http://schemas.openxmlformats.org/package/2006/relationships"><Relationship Id="rId1" Type="http://schemas.openxmlformats.org/officeDocument/2006/relationships/image" Target="../media/image3.png"/>
</Relationships>
</file>

<file path=xl/drawings/_rels/drawing4.xml.rels><?xml version="1.0" encoding="UTF-8"?>
<Relationships xmlns="http://schemas.openxmlformats.org/package/2006/relationships"><Relationship Id="rId1" Type="http://schemas.openxmlformats.org/officeDocument/2006/relationships/image" Target="../media/image4.png"/>
</Relationships>
</file>

<file path=xl/drawings/_rels/drawing5.xml.rels><?xml version="1.0" encoding="UTF-8"?>
<Relationships xmlns="http://schemas.openxmlformats.org/package/2006/relationships"><Relationship Id="rId1" Type="http://schemas.openxmlformats.org/officeDocument/2006/relationships/image" Target="../media/image5.png"/>
</Relationships>
</file>

<file path=xl/drawings/_rels/drawing6.xml.rels><?xml version="1.0" encoding="UTF-8"?>
<Relationships xmlns="http://schemas.openxmlformats.org/package/2006/relationships"><Relationship Id="rId1" Type="http://schemas.openxmlformats.org/officeDocument/2006/relationships/image" Target="../media/image6.png"/>
</Relationships>
</file>

<file path=xl/drawings/_rels/drawing7.xml.rels><?xml version="1.0" encoding="UTF-8"?>
<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720</xdr:colOff>
      <xdr:row>1</xdr:row>
      <xdr:rowOff>360</xdr:rowOff>
    </xdr:from>
    <xdr:to>
      <xdr:col>1</xdr:col>
      <xdr:colOff>1798560</xdr:colOff>
      <xdr:row>3</xdr:row>
      <xdr:rowOff>146880</xdr:rowOff>
    </xdr:to>
    <xdr:pic>
      <xdr:nvPicPr>
        <xdr:cNvPr id="0" name="image1.png" descr=""/>
        <xdr:cNvPicPr/>
      </xdr:nvPicPr>
      <xdr:blipFill>
        <a:blip r:embed="rId1"/>
        <a:stretch/>
      </xdr:blipFill>
      <xdr:spPr>
        <a:xfrm>
          <a:off x="1018440" y="222480"/>
          <a:ext cx="1797840" cy="56160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720</xdr:colOff>
      <xdr:row>1</xdr:row>
      <xdr:rowOff>360</xdr:rowOff>
    </xdr:from>
    <xdr:to>
      <xdr:col>1</xdr:col>
      <xdr:colOff>1798560</xdr:colOff>
      <xdr:row>3</xdr:row>
      <xdr:rowOff>146880</xdr:rowOff>
    </xdr:to>
    <xdr:pic>
      <xdr:nvPicPr>
        <xdr:cNvPr id="1" name="image1.png" descr=""/>
        <xdr:cNvPicPr/>
      </xdr:nvPicPr>
      <xdr:blipFill>
        <a:blip r:embed="rId1"/>
        <a:stretch/>
      </xdr:blipFill>
      <xdr:spPr>
        <a:xfrm>
          <a:off x="1019880" y="222480"/>
          <a:ext cx="1797840" cy="56160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720</xdr:colOff>
      <xdr:row>1</xdr:row>
      <xdr:rowOff>360</xdr:rowOff>
    </xdr:from>
    <xdr:to>
      <xdr:col>1</xdr:col>
      <xdr:colOff>1798560</xdr:colOff>
      <xdr:row>3</xdr:row>
      <xdr:rowOff>146880</xdr:rowOff>
    </xdr:to>
    <xdr:pic>
      <xdr:nvPicPr>
        <xdr:cNvPr id="2" name="image1.png" descr=""/>
        <xdr:cNvPicPr/>
      </xdr:nvPicPr>
      <xdr:blipFill>
        <a:blip r:embed="rId1"/>
        <a:stretch/>
      </xdr:blipFill>
      <xdr:spPr>
        <a:xfrm>
          <a:off x="1018440" y="222480"/>
          <a:ext cx="1797840" cy="561600"/>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720</xdr:colOff>
      <xdr:row>1</xdr:row>
      <xdr:rowOff>360</xdr:rowOff>
    </xdr:from>
    <xdr:to>
      <xdr:col>1</xdr:col>
      <xdr:colOff>1798560</xdr:colOff>
      <xdr:row>3</xdr:row>
      <xdr:rowOff>146880</xdr:rowOff>
    </xdr:to>
    <xdr:pic>
      <xdr:nvPicPr>
        <xdr:cNvPr id="3" name="image1.png" descr=""/>
        <xdr:cNvPicPr/>
      </xdr:nvPicPr>
      <xdr:blipFill>
        <a:blip r:embed="rId1"/>
        <a:stretch/>
      </xdr:blipFill>
      <xdr:spPr>
        <a:xfrm>
          <a:off x="1018440" y="222480"/>
          <a:ext cx="1797840" cy="561600"/>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720</xdr:colOff>
      <xdr:row>1</xdr:row>
      <xdr:rowOff>360</xdr:rowOff>
    </xdr:from>
    <xdr:to>
      <xdr:col>1</xdr:col>
      <xdr:colOff>1798560</xdr:colOff>
      <xdr:row>3</xdr:row>
      <xdr:rowOff>146880</xdr:rowOff>
    </xdr:to>
    <xdr:pic>
      <xdr:nvPicPr>
        <xdr:cNvPr id="4" name="image1.png" descr=""/>
        <xdr:cNvPicPr/>
      </xdr:nvPicPr>
      <xdr:blipFill>
        <a:blip r:embed="rId1"/>
        <a:stretch/>
      </xdr:blipFill>
      <xdr:spPr>
        <a:xfrm>
          <a:off x="1018440" y="222480"/>
          <a:ext cx="1797840" cy="561600"/>
        </a:xfrm>
        <a:prstGeom prst="rect">
          <a:avLst/>
        </a:prstGeom>
        <a:ln w="0">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0</xdr:col>
      <xdr:colOff>1951920</xdr:colOff>
      <xdr:row>0</xdr:row>
      <xdr:rowOff>504000</xdr:rowOff>
    </xdr:to>
    <xdr:pic>
      <xdr:nvPicPr>
        <xdr:cNvPr id="5" name="image2.png" descr=""/>
        <xdr:cNvPicPr/>
      </xdr:nvPicPr>
      <xdr:blipFill>
        <a:blip r:embed="rId1"/>
        <a:stretch/>
      </xdr:blipFill>
      <xdr:spPr>
        <a:xfrm>
          <a:off x="0" y="0"/>
          <a:ext cx="1951920" cy="504000"/>
        </a:xfrm>
        <a:prstGeom prst="rect">
          <a:avLst/>
        </a:prstGeom>
        <a:ln w="0">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0</xdr:col>
      <xdr:colOff>1951920</xdr:colOff>
      <xdr:row>0</xdr:row>
      <xdr:rowOff>504000</xdr:rowOff>
    </xdr:to>
    <xdr:pic>
      <xdr:nvPicPr>
        <xdr:cNvPr id="6" name="image2.png" descr=""/>
        <xdr:cNvPicPr/>
      </xdr:nvPicPr>
      <xdr:blipFill>
        <a:blip r:embed="rId1"/>
        <a:stretch/>
      </xdr:blipFill>
      <xdr:spPr>
        <a:xfrm>
          <a:off x="0" y="0"/>
          <a:ext cx="1951920" cy="50400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s://estated.com/developers/docs" TargetMode="External"/><Relationship Id="rId2"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_rels/sheet8.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E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453125" defaultRowHeight="16.35" zeroHeight="false" outlineLevelRow="0" outlineLevelCol="0"/>
  <cols>
    <col collapsed="false" customWidth="false" hidden="false" outlineLevel="0" max="1" min="1" style="1" width="14.43"/>
    <col collapsed="false" customWidth="true" hidden="false" outlineLevel="0" max="4" min="2" style="1" width="28.71"/>
    <col collapsed="false" customWidth="true" hidden="false" outlineLevel="0" max="5" min="5" style="1" width="44.14"/>
    <col collapsed="false" customWidth="false" hidden="false" outlineLevel="0" max="1024" min="6" style="1" width="14.43"/>
  </cols>
  <sheetData>
    <row r="1" customFormat="false" ht="17.5" hidden="false" customHeight="false" outlineLevel="0" collapsed="false">
      <c r="D1" s="2"/>
      <c r="E1" s="3"/>
    </row>
    <row r="2" customFormat="false" ht="16.35" hidden="false" customHeight="false" outlineLevel="0" collapsed="false">
      <c r="B2" s="4"/>
      <c r="C2" s="4"/>
      <c r="D2" s="4"/>
      <c r="E2" s="4"/>
    </row>
    <row r="3" customFormat="false" ht="16.35" hidden="false" customHeight="false" outlineLevel="0" collapsed="false">
      <c r="B3" s="4"/>
      <c r="C3" s="4"/>
      <c r="D3" s="4"/>
      <c r="E3" s="4"/>
    </row>
    <row r="4" customFormat="false" ht="16.35" hidden="false" customHeight="false" outlineLevel="0" collapsed="false">
      <c r="B4" s="4"/>
      <c r="C4" s="4"/>
      <c r="D4" s="4"/>
      <c r="E4" s="4"/>
    </row>
    <row r="5" customFormat="false" ht="17.5" hidden="false" customHeight="false" outlineLevel="0" collapsed="false">
      <c r="D5" s="2"/>
      <c r="E5" s="3"/>
    </row>
    <row r="6" customFormat="false" ht="17.5" hidden="false" customHeight="false" outlineLevel="0" collapsed="false">
      <c r="B6" s="5" t="s">
        <v>0</v>
      </c>
      <c r="C6" s="5"/>
      <c r="D6" s="5"/>
      <c r="E6" s="5"/>
    </row>
    <row r="7" customFormat="false" ht="17.5" hidden="false" customHeight="false" outlineLevel="0" collapsed="false">
      <c r="B7" s="6"/>
      <c r="C7" s="6"/>
      <c r="D7" s="6"/>
      <c r="E7" s="6"/>
    </row>
    <row r="8" customFormat="false" ht="17.75" hidden="false" customHeight="true" outlineLevel="0" collapsed="false">
      <c r="B8" s="7" t="s">
        <v>1</v>
      </c>
      <c r="C8" s="7"/>
      <c r="D8" s="8" t="s">
        <v>2</v>
      </c>
      <c r="E8" s="8"/>
    </row>
    <row r="9" customFormat="false" ht="17.75" hidden="false" customHeight="true" outlineLevel="0" collapsed="false">
      <c r="B9" s="9" t="s">
        <v>3</v>
      </c>
      <c r="C9" s="9"/>
      <c r="D9" s="10" t="s">
        <v>4</v>
      </c>
      <c r="E9" s="10"/>
    </row>
    <row r="10" customFormat="false" ht="17.75" hidden="false" customHeight="true" outlineLevel="0" collapsed="false">
      <c r="B10" s="11" t="s">
        <v>5</v>
      </c>
      <c r="C10" s="11"/>
      <c r="D10" s="12" t="s">
        <v>6</v>
      </c>
      <c r="E10" s="12"/>
    </row>
    <row r="11" customFormat="false" ht="17.5" hidden="false" customHeight="false" outlineLevel="0" collapsed="false">
      <c r="B11" s="6"/>
      <c r="C11" s="6"/>
      <c r="D11" s="6"/>
      <c r="E11" s="6"/>
    </row>
    <row r="12" customFormat="false" ht="55.25" hidden="false" customHeight="true" outlineLevel="0" collapsed="false">
      <c r="B12" s="13" t="s">
        <v>7</v>
      </c>
      <c r="C12" s="13"/>
      <c r="D12" s="13"/>
      <c r="E12" s="13"/>
    </row>
    <row r="13" customFormat="false" ht="17.5" hidden="false" customHeight="false" outlineLevel="0" collapsed="false">
      <c r="D13" s="2"/>
      <c r="E13" s="3"/>
    </row>
    <row r="14" customFormat="false" ht="17.5" hidden="false" customHeight="false" outlineLevel="0" collapsed="false">
      <c r="B14" s="14" t="s">
        <v>8</v>
      </c>
      <c r="C14" s="14"/>
      <c r="D14" s="14"/>
      <c r="E14" s="14"/>
    </row>
    <row r="15" customFormat="false" ht="17.75" hidden="false" customHeight="false" outlineLevel="0" collapsed="false">
      <c r="B15" s="15" t="s">
        <v>9</v>
      </c>
      <c r="C15" s="15" t="s">
        <v>10</v>
      </c>
      <c r="D15" s="16" t="s">
        <v>11</v>
      </c>
      <c r="E15" s="17" t="s">
        <v>12</v>
      </c>
    </row>
    <row r="16" customFormat="false" ht="30.25" hidden="false" customHeight="false" outlineLevel="0" collapsed="false">
      <c r="B16" s="18" t="s">
        <v>13</v>
      </c>
      <c r="C16" s="18" t="s">
        <v>14</v>
      </c>
      <c r="D16" s="19" t="s">
        <v>15</v>
      </c>
      <c r="E16" s="20" t="n">
        <v>12086</v>
      </c>
    </row>
    <row r="17" customFormat="false" ht="30.25" hidden="false" customHeight="false" outlineLevel="0" collapsed="false">
      <c r="B17" s="18" t="s">
        <v>16</v>
      </c>
      <c r="C17" s="18" t="s">
        <v>14</v>
      </c>
      <c r="D17" s="19" t="s">
        <v>17</v>
      </c>
      <c r="E17" s="20" t="s">
        <v>18</v>
      </c>
    </row>
    <row r="18" customFormat="false" ht="30.25" hidden="false" customHeight="false" outlineLevel="0" collapsed="false">
      <c r="B18" s="21" t="s">
        <v>19</v>
      </c>
      <c r="C18" s="21" t="s">
        <v>20</v>
      </c>
      <c r="D18" s="22" t="s">
        <v>21</v>
      </c>
      <c r="E18" s="23" t="n">
        <v>43145</v>
      </c>
    </row>
    <row r="19" customFormat="false" ht="17.5" hidden="false" customHeight="false" outlineLevel="0" collapsed="false">
      <c r="D19" s="2"/>
      <c r="E19" s="3"/>
    </row>
    <row r="20" customFormat="false" ht="17.75" hidden="false" customHeight="false" outlineLevel="0" collapsed="false">
      <c r="B20" s="24" t="s">
        <v>22</v>
      </c>
      <c r="C20" s="24"/>
      <c r="D20" s="24"/>
      <c r="E20" s="24"/>
    </row>
    <row r="21" customFormat="false" ht="17.75" hidden="false" customHeight="false" outlineLevel="0" collapsed="false">
      <c r="B21" s="15" t="s">
        <v>9</v>
      </c>
      <c r="C21" s="15" t="s">
        <v>10</v>
      </c>
      <c r="D21" s="16" t="s">
        <v>11</v>
      </c>
      <c r="E21" s="17" t="s">
        <v>12</v>
      </c>
    </row>
    <row r="22" customFormat="false" ht="30.25" hidden="false" customHeight="false" outlineLevel="0" collapsed="false">
      <c r="B22" s="18" t="s">
        <v>13</v>
      </c>
      <c r="C22" s="18" t="s">
        <v>14</v>
      </c>
      <c r="D22" s="19" t="s">
        <v>15</v>
      </c>
      <c r="E22" s="20" t="n">
        <v>12086</v>
      </c>
    </row>
    <row r="23" customFormat="false" ht="30.25" hidden="false" customHeight="false" outlineLevel="0" collapsed="false">
      <c r="B23" s="18" t="s">
        <v>16</v>
      </c>
      <c r="C23" s="18" t="s">
        <v>14</v>
      </c>
      <c r="D23" s="19" t="s">
        <v>17</v>
      </c>
      <c r="E23" s="20" t="s">
        <v>18</v>
      </c>
    </row>
    <row r="24" customFormat="false" ht="17.75" hidden="false" customHeight="false" outlineLevel="0" collapsed="false">
      <c r="B24" s="25" t="s">
        <v>23</v>
      </c>
      <c r="C24" s="25" t="s">
        <v>14</v>
      </c>
      <c r="D24" s="26" t="s">
        <v>24</v>
      </c>
      <c r="E24" s="27" t="n">
        <v>3450</v>
      </c>
    </row>
    <row r="25" customFormat="false" ht="30.25" hidden="false" customHeight="false" outlineLevel="0" collapsed="false">
      <c r="B25" s="25" t="s">
        <v>25</v>
      </c>
      <c r="C25" s="25" t="s">
        <v>14</v>
      </c>
      <c r="D25" s="26" t="s">
        <v>26</v>
      </c>
      <c r="E25" s="28" t="s">
        <v>27</v>
      </c>
    </row>
    <row r="26" customFormat="false" ht="42.75" hidden="false" customHeight="false" outlineLevel="0" collapsed="false">
      <c r="B26" s="25" t="s">
        <v>28</v>
      </c>
      <c r="C26" s="25" t="s">
        <v>14</v>
      </c>
      <c r="D26" s="26" t="s">
        <v>29</v>
      </c>
      <c r="E26" s="27" t="s">
        <v>30</v>
      </c>
    </row>
    <row r="27" customFormat="false" ht="30.25" hidden="false" customHeight="false" outlineLevel="0" collapsed="false">
      <c r="B27" s="25" t="s">
        <v>31</v>
      </c>
      <c r="C27" s="25" t="s">
        <v>14</v>
      </c>
      <c r="D27" s="26" t="s">
        <v>32</v>
      </c>
      <c r="E27" s="28" t="s">
        <v>33</v>
      </c>
    </row>
    <row r="28" customFormat="false" ht="42.75" hidden="false" customHeight="false" outlineLevel="0" collapsed="false">
      <c r="B28" s="25" t="s">
        <v>34</v>
      </c>
      <c r="C28" s="25" t="s">
        <v>14</v>
      </c>
      <c r="D28" s="26" t="s">
        <v>35</v>
      </c>
      <c r="E28" s="28" t="s">
        <v>36</v>
      </c>
    </row>
    <row r="29" customFormat="false" ht="17.75" hidden="false" customHeight="false" outlineLevel="0" collapsed="false">
      <c r="B29" s="25" t="s">
        <v>37</v>
      </c>
      <c r="C29" s="25" t="s">
        <v>14</v>
      </c>
      <c r="D29" s="26" t="s">
        <v>38</v>
      </c>
      <c r="E29" s="28" t="s">
        <v>39</v>
      </c>
    </row>
    <row r="30" customFormat="false" ht="30.25" hidden="false" customHeight="false" outlineLevel="0" collapsed="false">
      <c r="B30" s="25" t="s">
        <v>40</v>
      </c>
      <c r="C30" s="25" t="s">
        <v>14</v>
      </c>
      <c r="D30" s="26" t="s">
        <v>41</v>
      </c>
      <c r="E30" s="27" t="s">
        <v>42</v>
      </c>
    </row>
    <row r="31" customFormat="false" ht="30.25" hidden="false" customHeight="false" outlineLevel="0" collapsed="false">
      <c r="B31" s="25" t="s">
        <v>43</v>
      </c>
      <c r="C31" s="25" t="s">
        <v>14</v>
      </c>
      <c r="D31" s="26" t="s">
        <v>44</v>
      </c>
      <c r="E31" s="27" t="s">
        <v>45</v>
      </c>
    </row>
    <row r="32" customFormat="false" ht="17.75" hidden="false" customHeight="false" outlineLevel="0" collapsed="false">
      <c r="B32" s="25" t="s">
        <v>46</v>
      </c>
      <c r="C32" s="25" t="s">
        <v>14</v>
      </c>
      <c r="D32" s="26" t="s">
        <v>47</v>
      </c>
      <c r="E32" s="27" t="s">
        <v>48</v>
      </c>
    </row>
    <row r="33" customFormat="false" ht="17.75" hidden="false" customHeight="false" outlineLevel="0" collapsed="false">
      <c r="B33" s="25" t="s">
        <v>49</v>
      </c>
      <c r="C33" s="25" t="s">
        <v>14</v>
      </c>
      <c r="D33" s="26" t="s">
        <v>50</v>
      </c>
      <c r="E33" s="27" t="s">
        <v>51</v>
      </c>
    </row>
    <row r="34" customFormat="false" ht="17.75" hidden="false" customHeight="false" outlineLevel="0" collapsed="false">
      <c r="B34" s="25" t="s">
        <v>52</v>
      </c>
      <c r="C34" s="25" t="s">
        <v>14</v>
      </c>
      <c r="D34" s="26" t="s">
        <v>53</v>
      </c>
      <c r="E34" s="27" t="n">
        <v>60614</v>
      </c>
    </row>
    <row r="35" customFormat="false" ht="30.25" hidden="false" customHeight="false" outlineLevel="0" collapsed="false">
      <c r="B35" s="25" t="s">
        <v>54</v>
      </c>
      <c r="C35" s="25" t="s">
        <v>14</v>
      </c>
      <c r="D35" s="26" t="s">
        <v>55</v>
      </c>
      <c r="E35" s="27" t="n">
        <v>5505</v>
      </c>
    </row>
    <row r="36" customFormat="false" ht="30.25" hidden="false" customHeight="false" outlineLevel="0" collapsed="false">
      <c r="B36" s="25" t="s">
        <v>56</v>
      </c>
      <c r="C36" s="25" t="s">
        <v>14</v>
      </c>
      <c r="D36" s="26" t="s">
        <v>57</v>
      </c>
      <c r="E36" s="27" t="s">
        <v>58</v>
      </c>
    </row>
    <row r="37" customFormat="false" ht="30.25" hidden="false" customHeight="false" outlineLevel="0" collapsed="false">
      <c r="B37" s="25" t="s">
        <v>59</v>
      </c>
      <c r="C37" s="25" t="s">
        <v>60</v>
      </c>
      <c r="D37" s="26" t="s">
        <v>61</v>
      </c>
      <c r="E37" s="27" t="n">
        <v>41.912406</v>
      </c>
    </row>
    <row r="38" customFormat="false" ht="30.25" hidden="false" customHeight="false" outlineLevel="0" collapsed="false">
      <c r="B38" s="25" t="s">
        <v>62</v>
      </c>
      <c r="C38" s="25" t="s">
        <v>60</v>
      </c>
      <c r="D38" s="26" t="s">
        <v>63</v>
      </c>
      <c r="E38" s="27" t="n">
        <v>-87.649191</v>
      </c>
    </row>
    <row r="39" customFormat="false" ht="30.25" hidden="false" customHeight="false" outlineLevel="0" collapsed="false">
      <c r="B39" s="25" t="s">
        <v>64</v>
      </c>
      <c r="C39" s="25" t="s">
        <v>14</v>
      </c>
      <c r="D39" s="26" t="s">
        <v>65</v>
      </c>
      <c r="E39" s="28" t="s">
        <v>66</v>
      </c>
    </row>
    <row r="40" customFormat="false" ht="42.75" hidden="false" customHeight="false" outlineLevel="0" collapsed="false">
      <c r="B40" s="25" t="s">
        <v>67</v>
      </c>
      <c r="C40" s="25" t="s">
        <v>14</v>
      </c>
      <c r="D40" s="26" t="s">
        <v>68</v>
      </c>
      <c r="E40" s="27" t="n">
        <v>10570200.002</v>
      </c>
    </row>
  </sheetData>
  <mergeCells count="11">
    <mergeCell ref="B2:E4"/>
    <mergeCell ref="B6:E6"/>
    <mergeCell ref="B8:C8"/>
    <mergeCell ref="D8:E8"/>
    <mergeCell ref="B9:C9"/>
    <mergeCell ref="D9:E9"/>
    <mergeCell ref="B10:C10"/>
    <mergeCell ref="D10:E10"/>
    <mergeCell ref="B12:E12"/>
    <mergeCell ref="B14:E14"/>
    <mergeCell ref="B20:E20"/>
  </mergeCells>
  <hyperlinks>
    <hyperlink ref="D8" r:id="rId1" display="https://estated.com/developers/docs"/>
    <hyperlink ref="E25" location="'Values List'!B2" display="N"/>
    <hyperlink ref="E27" location="'Values List'!B10" display="ST"/>
    <hyperlink ref="E28" location="'Values List'!B2" display="SW"/>
    <hyperlink ref="E29" location="'Values List'!B222" display="APT"/>
    <hyperlink ref="E39" location="'Values List'!B246" display="PARCEL CENTROID"/>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E1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2" activeCellId="0" sqref="A12"/>
    </sheetView>
  </sheetViews>
  <sheetFormatPr defaultColWidth="14.4609375" defaultRowHeight="16.35" zeroHeight="false" outlineLevelRow="0" outlineLevelCol="0"/>
  <cols>
    <col collapsed="false" customWidth="true" hidden="false" outlineLevel="0" max="4" min="2" style="0" width="28.71"/>
    <col collapsed="false" customWidth="true" hidden="false" outlineLevel="0" max="5" min="5" style="0" width="44.14"/>
  </cols>
  <sheetData>
    <row r="1" customFormat="false" ht="17.5" hidden="false" customHeight="false" outlineLevel="0" collapsed="false">
      <c r="D1" s="29"/>
      <c r="E1" s="30"/>
    </row>
    <row r="2" customFormat="false" ht="16.35" hidden="false" customHeight="false" outlineLevel="0" collapsed="false">
      <c r="B2" s="4"/>
      <c r="C2" s="4"/>
      <c r="D2" s="4"/>
      <c r="E2" s="4"/>
    </row>
    <row r="3" customFormat="false" ht="16.35" hidden="false" customHeight="false" outlineLevel="0" collapsed="false">
      <c r="B3" s="4"/>
      <c r="C3" s="4"/>
      <c r="D3" s="4"/>
      <c r="E3" s="4"/>
    </row>
    <row r="4" customFormat="false" ht="16.35" hidden="false" customHeight="false" outlineLevel="0" collapsed="false">
      <c r="B4" s="4"/>
      <c r="C4" s="4"/>
      <c r="D4" s="4"/>
      <c r="E4" s="4"/>
    </row>
    <row r="5" customFormat="false" ht="17.5" hidden="false" customHeight="false" outlineLevel="0" collapsed="false">
      <c r="D5" s="29"/>
      <c r="E5" s="30"/>
    </row>
    <row r="6" customFormat="false" ht="17.5" hidden="false" customHeight="false" outlineLevel="0" collapsed="false">
      <c r="B6" s="31" t="s">
        <v>69</v>
      </c>
      <c r="C6" s="31"/>
      <c r="D6" s="31"/>
      <c r="E6" s="31"/>
    </row>
    <row r="7" customFormat="false" ht="17.5" hidden="false" customHeight="false" outlineLevel="0" collapsed="false">
      <c r="B7" s="32"/>
      <c r="C7" s="32"/>
      <c r="D7" s="32"/>
      <c r="E7" s="32"/>
    </row>
    <row r="8" customFormat="false" ht="17.75" hidden="false" customHeight="true" outlineLevel="0" collapsed="false">
      <c r="B8" s="33" t="s">
        <v>70</v>
      </c>
      <c r="C8" s="33"/>
      <c r="D8" s="33"/>
      <c r="E8" s="33"/>
    </row>
    <row r="9" customFormat="false" ht="17.5" hidden="false" customHeight="false" outlineLevel="0" collapsed="false">
      <c r="B9" s="34"/>
      <c r="C9" s="32"/>
      <c r="D9" s="32"/>
      <c r="E9" s="32"/>
    </row>
    <row r="10" customFormat="false" ht="17.75" hidden="false" customHeight="false" outlineLevel="0" collapsed="false">
      <c r="B10" s="24" t="s">
        <v>71</v>
      </c>
      <c r="C10" s="24"/>
      <c r="D10" s="24"/>
      <c r="E10" s="24"/>
    </row>
    <row r="11" customFormat="false" ht="17.75" hidden="false" customHeight="false" outlineLevel="0" collapsed="false">
      <c r="B11" s="35" t="s">
        <v>9</v>
      </c>
      <c r="C11" s="35" t="s">
        <v>10</v>
      </c>
      <c r="D11" s="36" t="s">
        <v>11</v>
      </c>
      <c r="E11" s="37" t="s">
        <v>12</v>
      </c>
    </row>
    <row r="12" customFormat="false" ht="30.25" hidden="false" customHeight="false" outlineLevel="0" collapsed="false">
      <c r="B12" s="38" t="s">
        <v>13</v>
      </c>
      <c r="C12" s="38" t="s">
        <v>14</v>
      </c>
      <c r="D12" s="39" t="s">
        <v>15</v>
      </c>
      <c r="E12" s="40" t="n">
        <v>12086</v>
      </c>
    </row>
    <row r="13" customFormat="false" ht="30.25" hidden="false" customHeight="false" outlineLevel="0" collapsed="false">
      <c r="B13" s="38" t="s">
        <v>16</v>
      </c>
      <c r="C13" s="38" t="s">
        <v>14</v>
      </c>
      <c r="D13" s="39" t="s">
        <v>17</v>
      </c>
      <c r="E13" s="40" t="s">
        <v>18</v>
      </c>
    </row>
    <row r="14" customFormat="false" ht="30.25" hidden="false" customHeight="false" outlineLevel="0" collapsed="false">
      <c r="B14" s="41" t="s">
        <v>72</v>
      </c>
      <c r="C14" s="41" t="s">
        <v>14</v>
      </c>
      <c r="D14" s="42" t="s">
        <v>17</v>
      </c>
      <c r="E14" s="43" t="s">
        <v>18</v>
      </c>
    </row>
    <row r="15" customFormat="false" ht="30.25" hidden="false" customHeight="false" outlineLevel="0" collapsed="false">
      <c r="B15" s="41" t="s">
        <v>73</v>
      </c>
      <c r="C15" s="41" t="s">
        <v>14</v>
      </c>
      <c r="D15" s="42" t="s">
        <v>74</v>
      </c>
      <c r="E15" s="43" t="n">
        <v>10900402</v>
      </c>
    </row>
    <row r="16" customFormat="false" ht="30.25" hidden="false" customHeight="false" outlineLevel="0" collapsed="false">
      <c r="B16" s="41" t="s">
        <v>75</v>
      </c>
      <c r="C16" s="41" t="s">
        <v>14</v>
      </c>
      <c r="D16" s="42" t="s">
        <v>76</v>
      </c>
      <c r="E16" s="43" t="s">
        <v>77</v>
      </c>
    </row>
    <row r="17" customFormat="false" ht="30.25" hidden="false" customHeight="false" outlineLevel="0" collapsed="false">
      <c r="B17" s="41" t="s">
        <v>78</v>
      </c>
      <c r="C17" s="41" t="s">
        <v>14</v>
      </c>
      <c r="D17" s="42" t="s">
        <v>15</v>
      </c>
      <c r="E17" s="43" t="n">
        <v>12086</v>
      </c>
    </row>
    <row r="18" customFormat="false" ht="30.25" hidden="false" customHeight="false" outlineLevel="0" collapsed="false">
      <c r="B18" s="41" t="s">
        <v>79</v>
      </c>
      <c r="C18" s="41" t="s">
        <v>60</v>
      </c>
      <c r="D18" s="42" t="s">
        <v>80</v>
      </c>
      <c r="E18" s="43" t="n">
        <v>120</v>
      </c>
    </row>
    <row r="19" customFormat="false" ht="30.25" hidden="false" customHeight="false" outlineLevel="0" collapsed="false">
      <c r="B19" s="41" t="s">
        <v>81</v>
      </c>
      <c r="C19" s="41" t="s">
        <v>60</v>
      </c>
      <c r="D19" s="42" t="s">
        <v>82</v>
      </c>
      <c r="E19" s="43" t="n">
        <v>260</v>
      </c>
    </row>
    <row r="20" customFormat="false" ht="30.25" hidden="false" customHeight="false" outlineLevel="0" collapsed="false">
      <c r="B20" s="41" t="s">
        <v>83</v>
      </c>
      <c r="C20" s="41" t="s">
        <v>84</v>
      </c>
      <c r="D20" s="42" t="s">
        <v>85</v>
      </c>
      <c r="E20" s="43" t="n">
        <v>31200</v>
      </c>
    </row>
    <row r="21" customFormat="false" ht="30.25" hidden="false" customHeight="false" outlineLevel="0" collapsed="false">
      <c r="B21" s="41" t="s">
        <v>86</v>
      </c>
      <c r="C21" s="41" t="s">
        <v>60</v>
      </c>
      <c r="D21" s="42" t="s">
        <v>87</v>
      </c>
      <c r="E21" s="43" t="n">
        <v>0.716</v>
      </c>
    </row>
    <row r="22" customFormat="false" ht="17.75" hidden="false" customHeight="false" outlineLevel="0" collapsed="false">
      <c r="B22" s="41" t="s">
        <v>88</v>
      </c>
      <c r="C22" s="41" t="s">
        <v>14</v>
      </c>
      <c r="D22" s="42" t="s">
        <v>89</v>
      </c>
      <c r="E22" s="43" t="s">
        <v>90</v>
      </c>
    </row>
    <row r="23" customFormat="false" ht="42.75" hidden="false" customHeight="false" outlineLevel="0" collapsed="false">
      <c r="B23" s="41" t="s">
        <v>91</v>
      </c>
      <c r="C23" s="41" t="s">
        <v>14</v>
      </c>
      <c r="D23" s="42" t="s">
        <v>92</v>
      </c>
      <c r="E23" s="43" t="s">
        <v>93</v>
      </c>
    </row>
    <row r="24" customFormat="false" ht="42.75" hidden="false" customHeight="false" outlineLevel="0" collapsed="false">
      <c r="B24" s="41" t="s">
        <v>94</v>
      </c>
      <c r="C24" s="41" t="s">
        <v>14</v>
      </c>
      <c r="D24" s="42" t="s">
        <v>95</v>
      </c>
      <c r="E24" s="43" t="s">
        <v>96</v>
      </c>
    </row>
    <row r="25" customFormat="false" ht="55.25" hidden="false" customHeight="false" outlineLevel="0" collapsed="false">
      <c r="B25" s="41" t="s">
        <v>97</v>
      </c>
      <c r="C25" s="41" t="s">
        <v>14</v>
      </c>
      <c r="D25" s="42" t="s">
        <v>98</v>
      </c>
      <c r="E25" s="44" t="s">
        <v>99</v>
      </c>
    </row>
    <row r="26" customFormat="false" ht="55.25" hidden="false" customHeight="false" outlineLevel="0" collapsed="false">
      <c r="B26" s="41" t="s">
        <v>100</v>
      </c>
      <c r="C26" s="41" t="s">
        <v>14</v>
      </c>
      <c r="D26" s="42" t="s">
        <v>101</v>
      </c>
      <c r="E26" s="44" t="s">
        <v>102</v>
      </c>
    </row>
    <row r="27" customFormat="false" ht="30.25" hidden="false" customHeight="false" outlineLevel="0" collapsed="false">
      <c r="B27" s="41" t="s">
        <v>103</v>
      </c>
      <c r="C27" s="41" t="s">
        <v>104</v>
      </c>
      <c r="D27" s="42" t="s">
        <v>105</v>
      </c>
      <c r="E27" s="44" t="s">
        <v>106</v>
      </c>
    </row>
    <row r="28" customFormat="false" ht="42.75" hidden="false" customHeight="false" outlineLevel="0" collapsed="false">
      <c r="B28" s="41" t="s">
        <v>107</v>
      </c>
      <c r="C28" s="41" t="s">
        <v>14</v>
      </c>
      <c r="D28" s="42" t="s">
        <v>108</v>
      </c>
      <c r="E28" s="43" t="s">
        <v>109</v>
      </c>
    </row>
    <row r="29" customFormat="false" ht="30.25" hidden="false" customHeight="false" outlineLevel="0" collapsed="false">
      <c r="B29" s="41" t="s">
        <v>110</v>
      </c>
      <c r="C29" s="41" t="s">
        <v>84</v>
      </c>
      <c r="D29" s="42" t="s">
        <v>111</v>
      </c>
      <c r="E29" s="43" t="n">
        <v>1</v>
      </c>
    </row>
    <row r="30" customFormat="false" ht="30.25" hidden="false" customHeight="false" outlineLevel="0" collapsed="false">
      <c r="B30" s="41" t="s">
        <v>112</v>
      </c>
      <c r="C30" s="41" t="s">
        <v>14</v>
      </c>
      <c r="D30" s="42" t="s">
        <v>113</v>
      </c>
      <c r="E30" s="43" t="s">
        <v>114</v>
      </c>
    </row>
    <row r="31" customFormat="false" ht="42.75" hidden="false" customHeight="false" outlineLevel="0" collapsed="false">
      <c r="B31" s="41" t="s">
        <v>115</v>
      </c>
      <c r="C31" s="41" t="s">
        <v>14</v>
      </c>
      <c r="D31" s="42" t="s">
        <v>116</v>
      </c>
      <c r="E31" s="43" t="s">
        <v>117</v>
      </c>
    </row>
    <row r="32" customFormat="false" ht="30.25" hidden="false" customHeight="false" outlineLevel="0" collapsed="false">
      <c r="B32" s="41" t="s">
        <v>118</v>
      </c>
      <c r="C32" s="41" t="s">
        <v>14</v>
      </c>
      <c r="D32" s="42" t="s">
        <v>119</v>
      </c>
      <c r="E32" s="44" t="s">
        <v>120</v>
      </c>
    </row>
    <row r="33" customFormat="false" ht="80.25" hidden="false" customHeight="false" outlineLevel="0" collapsed="false">
      <c r="B33" s="41" t="s">
        <v>121</v>
      </c>
      <c r="C33" s="41" t="s">
        <v>14</v>
      </c>
      <c r="D33" s="42" t="s">
        <v>122</v>
      </c>
      <c r="E33" s="43" t="s">
        <v>123</v>
      </c>
    </row>
    <row r="34" customFormat="false" ht="42.75" hidden="false" customHeight="false" outlineLevel="0" collapsed="false">
      <c r="B34" s="41" t="s">
        <v>124</v>
      </c>
      <c r="C34" s="41" t="s">
        <v>14</v>
      </c>
      <c r="D34" s="42" t="s">
        <v>125</v>
      </c>
      <c r="E34" s="43" t="s">
        <v>126</v>
      </c>
    </row>
    <row r="35" customFormat="false" ht="30.25" hidden="false" customHeight="false" outlineLevel="0" collapsed="false">
      <c r="B35" s="41" t="s">
        <v>127</v>
      </c>
      <c r="C35" s="41" t="s">
        <v>14</v>
      </c>
      <c r="D35" s="42" t="s">
        <v>128</v>
      </c>
      <c r="E35" s="43" t="s">
        <v>129</v>
      </c>
    </row>
    <row r="36" customFormat="false" ht="30.25" hidden="false" customHeight="false" outlineLevel="0" collapsed="false">
      <c r="B36" s="41" t="s">
        <v>130</v>
      </c>
      <c r="C36" s="41" t="s">
        <v>14</v>
      </c>
      <c r="D36" s="42" t="s">
        <v>131</v>
      </c>
      <c r="E36" s="43" t="s">
        <v>132</v>
      </c>
    </row>
    <row r="37" customFormat="false" ht="17.5" hidden="false" customHeight="false" outlineLevel="0" collapsed="false">
      <c r="D37" s="29"/>
      <c r="E37" s="30"/>
    </row>
    <row r="38" customFormat="false" ht="17.75" hidden="false" customHeight="false" outlineLevel="0" collapsed="false">
      <c r="B38" s="24" t="s">
        <v>133</v>
      </c>
      <c r="C38" s="24"/>
      <c r="D38" s="24"/>
      <c r="E38" s="24"/>
    </row>
    <row r="39" customFormat="false" ht="17.75" hidden="false" customHeight="false" outlineLevel="0" collapsed="false">
      <c r="B39" s="35" t="s">
        <v>9</v>
      </c>
      <c r="C39" s="35" t="s">
        <v>10</v>
      </c>
      <c r="D39" s="36" t="s">
        <v>11</v>
      </c>
      <c r="E39" s="37" t="s">
        <v>12</v>
      </c>
    </row>
    <row r="40" customFormat="false" ht="30.25" hidden="false" customHeight="false" outlineLevel="0" collapsed="false">
      <c r="B40" s="38" t="s">
        <v>13</v>
      </c>
      <c r="C40" s="38" t="s">
        <v>14</v>
      </c>
      <c r="D40" s="39" t="s">
        <v>15</v>
      </c>
      <c r="E40" s="40" t="n">
        <v>12086</v>
      </c>
    </row>
    <row r="41" customFormat="false" ht="30.25" hidden="false" customHeight="false" outlineLevel="0" collapsed="false">
      <c r="B41" s="38" t="s">
        <v>16</v>
      </c>
      <c r="C41" s="38" t="s">
        <v>14</v>
      </c>
      <c r="D41" s="39" t="s">
        <v>17</v>
      </c>
      <c r="E41" s="40" t="s">
        <v>18</v>
      </c>
    </row>
    <row r="42" customFormat="false" ht="30.25" hidden="false" customHeight="false" outlineLevel="0" collapsed="false">
      <c r="B42" s="41" t="s">
        <v>134</v>
      </c>
      <c r="C42" s="41" t="s">
        <v>84</v>
      </c>
      <c r="D42" s="42" t="s">
        <v>135</v>
      </c>
      <c r="E42" s="43" t="n">
        <v>1923</v>
      </c>
    </row>
    <row r="43" customFormat="false" ht="42.75" hidden="false" customHeight="false" outlineLevel="0" collapsed="false">
      <c r="B43" s="41" t="s">
        <v>136</v>
      </c>
      <c r="C43" s="41" t="s">
        <v>84</v>
      </c>
      <c r="D43" s="42" t="s">
        <v>137</v>
      </c>
      <c r="E43" s="43" t="n">
        <v>1996</v>
      </c>
    </row>
    <row r="44" customFormat="false" ht="55.25" hidden="false" customHeight="false" outlineLevel="0" collapsed="false">
      <c r="B44" s="41" t="s">
        <v>138</v>
      </c>
      <c r="C44" s="41" t="s">
        <v>14</v>
      </c>
      <c r="D44" s="42" t="s">
        <v>139</v>
      </c>
      <c r="E44" s="44" t="s">
        <v>140</v>
      </c>
    </row>
    <row r="45" customFormat="false" ht="42.75" hidden="false" customHeight="false" outlineLevel="0" collapsed="false">
      <c r="B45" s="41" t="s">
        <v>141</v>
      </c>
      <c r="C45" s="41" t="s">
        <v>84</v>
      </c>
      <c r="D45" s="42" t="s">
        <v>142</v>
      </c>
      <c r="E45" s="43" t="n">
        <v>4</v>
      </c>
    </row>
    <row r="46" customFormat="false" ht="30.25" hidden="false" customHeight="false" outlineLevel="0" collapsed="false">
      <c r="B46" s="41" t="s">
        <v>143</v>
      </c>
      <c r="C46" s="41" t="s">
        <v>84</v>
      </c>
      <c r="D46" s="42" t="s">
        <v>144</v>
      </c>
      <c r="E46" s="43" t="n">
        <v>3</v>
      </c>
    </row>
    <row r="47" customFormat="false" ht="67.75" hidden="false" customHeight="false" outlineLevel="0" collapsed="false">
      <c r="B47" s="41" t="s">
        <v>145</v>
      </c>
      <c r="C47" s="41" t="s">
        <v>60</v>
      </c>
      <c r="D47" s="42" t="s">
        <v>146</v>
      </c>
      <c r="E47" s="43" t="n">
        <v>2.5</v>
      </c>
    </row>
    <row r="48" customFormat="false" ht="67.75" hidden="false" customHeight="false" outlineLevel="0" collapsed="false">
      <c r="B48" s="41" t="s">
        <v>147</v>
      </c>
      <c r="C48" s="41" t="s">
        <v>84</v>
      </c>
      <c r="D48" s="42" t="s">
        <v>148</v>
      </c>
      <c r="E48" s="43" t="n">
        <v>2</v>
      </c>
    </row>
    <row r="49" customFormat="false" ht="30.25" hidden="false" customHeight="false" outlineLevel="0" collapsed="false">
      <c r="B49" s="41" t="s">
        <v>149</v>
      </c>
      <c r="C49" s="41" t="s">
        <v>84</v>
      </c>
      <c r="D49" s="42" t="s">
        <v>150</v>
      </c>
      <c r="E49" s="43" t="n">
        <v>1</v>
      </c>
    </row>
    <row r="50" customFormat="false" ht="18.4" hidden="false" customHeight="false" outlineLevel="0" collapsed="false">
      <c r="B50" s="41" t="s">
        <v>151</v>
      </c>
      <c r="C50" s="41" t="s">
        <v>14</v>
      </c>
      <c r="D50" s="42" t="s">
        <v>152</v>
      </c>
      <c r="E50" s="44" t="s">
        <v>153</v>
      </c>
    </row>
    <row r="51" customFormat="false" ht="42.75" hidden="false" customHeight="false" outlineLevel="0" collapsed="false">
      <c r="B51" s="41" t="s">
        <v>154</v>
      </c>
      <c r="C51" s="41" t="s">
        <v>84</v>
      </c>
      <c r="D51" s="42" t="s">
        <v>155</v>
      </c>
      <c r="E51" s="43" t="n">
        <v>2</v>
      </c>
    </row>
    <row r="52" customFormat="false" ht="30.25" hidden="false" customHeight="false" outlineLevel="0" collapsed="false">
      <c r="B52" s="41" t="s">
        <v>156</v>
      </c>
      <c r="C52" s="41" t="s">
        <v>14</v>
      </c>
      <c r="D52" s="42" t="s">
        <v>157</v>
      </c>
      <c r="E52" s="44" t="s">
        <v>158</v>
      </c>
    </row>
    <row r="53" customFormat="false" ht="30.25" hidden="false" customHeight="false" outlineLevel="0" collapsed="false">
      <c r="B53" s="41" t="s">
        <v>159</v>
      </c>
      <c r="C53" s="41" t="s">
        <v>14</v>
      </c>
      <c r="D53" s="42" t="s">
        <v>160</v>
      </c>
      <c r="E53" s="44" t="s">
        <v>161</v>
      </c>
    </row>
    <row r="54" customFormat="false" ht="30.25" hidden="false" customHeight="false" outlineLevel="0" collapsed="false">
      <c r="B54" s="41" t="s">
        <v>162</v>
      </c>
      <c r="C54" s="41" t="s">
        <v>14</v>
      </c>
      <c r="D54" s="42" t="s">
        <v>163</v>
      </c>
      <c r="E54" s="44" t="s">
        <v>164</v>
      </c>
    </row>
    <row r="55" customFormat="false" ht="30.25" hidden="false" customHeight="false" outlineLevel="0" collapsed="false">
      <c r="B55" s="41" t="s">
        <v>165</v>
      </c>
      <c r="C55" s="41" t="s">
        <v>14</v>
      </c>
      <c r="D55" s="42" t="s">
        <v>166</v>
      </c>
      <c r="E55" s="44" t="s">
        <v>167</v>
      </c>
    </row>
    <row r="56" customFormat="false" ht="30.25" hidden="false" customHeight="false" outlineLevel="0" collapsed="false">
      <c r="B56" s="41" t="s">
        <v>168</v>
      </c>
      <c r="C56" s="41" t="s">
        <v>14</v>
      </c>
      <c r="D56" s="42" t="s">
        <v>169</v>
      </c>
      <c r="E56" s="44" t="s">
        <v>170</v>
      </c>
    </row>
    <row r="57" customFormat="false" ht="30.25" hidden="false" customHeight="false" outlineLevel="0" collapsed="false">
      <c r="B57" s="41" t="s">
        <v>171</v>
      </c>
      <c r="C57" s="41" t="s">
        <v>14</v>
      </c>
      <c r="D57" s="42" t="s">
        <v>172</v>
      </c>
      <c r="E57" s="44" t="s">
        <v>173</v>
      </c>
    </row>
    <row r="58" customFormat="false" ht="30.25" hidden="false" customHeight="false" outlineLevel="0" collapsed="false">
      <c r="B58" s="41" t="s">
        <v>174</v>
      </c>
      <c r="C58" s="41" t="s">
        <v>14</v>
      </c>
      <c r="D58" s="42" t="s">
        <v>175</v>
      </c>
      <c r="E58" s="44" t="s">
        <v>176</v>
      </c>
    </row>
    <row r="59" customFormat="false" ht="30.25" hidden="false" customHeight="false" outlineLevel="0" collapsed="false">
      <c r="B59" s="41" t="s">
        <v>177</v>
      </c>
      <c r="C59" s="41" t="s">
        <v>14</v>
      </c>
      <c r="D59" s="42" t="s">
        <v>178</v>
      </c>
      <c r="E59" s="44" t="s">
        <v>179</v>
      </c>
    </row>
    <row r="60" customFormat="false" ht="30.25" hidden="false" customHeight="false" outlineLevel="0" collapsed="false">
      <c r="B60" s="41" t="s">
        <v>180</v>
      </c>
      <c r="C60" s="41" t="s">
        <v>14</v>
      </c>
      <c r="D60" s="42" t="s">
        <v>181</v>
      </c>
      <c r="E60" s="44" t="s">
        <v>182</v>
      </c>
    </row>
    <row r="61" customFormat="false" ht="30.25" hidden="false" customHeight="false" outlineLevel="0" collapsed="false">
      <c r="B61" s="41" t="s">
        <v>183</v>
      </c>
      <c r="C61" s="41" t="s">
        <v>14</v>
      </c>
      <c r="D61" s="42" t="s">
        <v>184</v>
      </c>
      <c r="E61" s="44" t="s">
        <v>185</v>
      </c>
    </row>
    <row r="62" customFormat="false" ht="42.75" hidden="false" customHeight="false" outlineLevel="0" collapsed="false">
      <c r="B62" s="41" t="s">
        <v>186</v>
      </c>
      <c r="C62" s="41" t="s">
        <v>14</v>
      </c>
      <c r="D62" s="42" t="s">
        <v>187</v>
      </c>
      <c r="E62" s="43" t="n">
        <v>2</v>
      </c>
    </row>
    <row r="63" customFormat="false" ht="30.25" hidden="false" customHeight="false" outlineLevel="0" collapsed="false">
      <c r="B63" s="41" t="s">
        <v>188</v>
      </c>
      <c r="C63" s="41" t="s">
        <v>14</v>
      </c>
      <c r="D63" s="42" t="s">
        <v>189</v>
      </c>
      <c r="E63" s="44" t="s">
        <v>190</v>
      </c>
    </row>
    <row r="64" customFormat="false" ht="155.25" hidden="false" customHeight="false" outlineLevel="0" collapsed="false">
      <c r="B64" s="41" t="s">
        <v>191</v>
      </c>
      <c r="C64" s="41" t="s">
        <v>14</v>
      </c>
      <c r="D64" s="42" t="s">
        <v>192</v>
      </c>
      <c r="E64" s="43" t="s">
        <v>193</v>
      </c>
    </row>
    <row r="65" customFormat="false" ht="117.75" hidden="false" customHeight="false" outlineLevel="0" collapsed="false">
      <c r="B65" s="41" t="s">
        <v>194</v>
      </c>
      <c r="C65" s="41" t="s">
        <v>14</v>
      </c>
      <c r="D65" s="42" t="s">
        <v>195</v>
      </c>
      <c r="E65" s="44" t="s">
        <v>196</v>
      </c>
    </row>
    <row r="66" customFormat="false" ht="30.25" hidden="false" customHeight="false" outlineLevel="0" collapsed="false">
      <c r="B66" s="41" t="s">
        <v>197</v>
      </c>
      <c r="C66" s="41" t="s">
        <v>104</v>
      </c>
      <c r="D66" s="42" t="s">
        <v>198</v>
      </c>
      <c r="E66" s="44" t="s">
        <v>199</v>
      </c>
    </row>
    <row r="67" customFormat="false" ht="30.25" hidden="false" customHeight="false" outlineLevel="0" collapsed="false">
      <c r="B67" s="41" t="s">
        <v>200</v>
      </c>
      <c r="C67" s="41" t="s">
        <v>84</v>
      </c>
      <c r="D67" s="42" t="s">
        <v>201</v>
      </c>
      <c r="E67" s="43" t="n">
        <v>1</v>
      </c>
    </row>
    <row r="68" customFormat="false" ht="30.25" hidden="false" customHeight="false" outlineLevel="0" collapsed="false">
      <c r="B68" s="41" t="s">
        <v>202</v>
      </c>
      <c r="C68" s="41" t="s">
        <v>14</v>
      </c>
      <c r="D68" s="42" t="s">
        <v>203</v>
      </c>
      <c r="E68" s="44" t="s">
        <v>204</v>
      </c>
    </row>
    <row r="69" customFormat="false" ht="30.25" hidden="false" customHeight="false" outlineLevel="0" collapsed="false">
      <c r="B69" s="41" t="s">
        <v>205</v>
      </c>
      <c r="C69" s="41" t="s">
        <v>14</v>
      </c>
      <c r="D69" s="42" t="s">
        <v>206</v>
      </c>
      <c r="E69" s="44" t="s">
        <v>207</v>
      </c>
    </row>
    <row r="70" customFormat="false" ht="30.25" hidden="false" customHeight="false" outlineLevel="0" collapsed="false">
      <c r="B70" s="41" t="s">
        <v>208</v>
      </c>
      <c r="C70" s="41" t="s">
        <v>14</v>
      </c>
      <c r="D70" s="42" t="s">
        <v>209</v>
      </c>
      <c r="E70" s="44" t="s">
        <v>210</v>
      </c>
    </row>
    <row r="71" customFormat="false" ht="30.25" hidden="false" customHeight="false" outlineLevel="0" collapsed="false">
      <c r="B71" s="41" t="s">
        <v>211</v>
      </c>
      <c r="C71" s="41" t="s">
        <v>84</v>
      </c>
      <c r="D71" s="42" t="s">
        <v>212</v>
      </c>
      <c r="E71" s="43" t="n">
        <v>1692</v>
      </c>
    </row>
    <row r="72" customFormat="false" ht="30.25" hidden="false" customHeight="false" outlineLevel="0" collapsed="false">
      <c r="B72" s="41" t="s">
        <v>213</v>
      </c>
      <c r="C72" s="41" t="s">
        <v>104</v>
      </c>
      <c r="D72" s="42" t="s">
        <v>214</v>
      </c>
      <c r="E72" s="44" t="s">
        <v>215</v>
      </c>
    </row>
    <row r="73" customFormat="false" ht="30.25" hidden="false" customHeight="false" outlineLevel="0" collapsed="false">
      <c r="B73" s="41" t="s">
        <v>216</v>
      </c>
      <c r="C73" s="41" t="s">
        <v>104</v>
      </c>
      <c r="D73" s="42" t="s">
        <v>217</v>
      </c>
      <c r="E73" s="44" t="s">
        <v>218</v>
      </c>
    </row>
    <row r="74" customFormat="false" ht="17.5" hidden="false" customHeight="false" outlineLevel="0" collapsed="false">
      <c r="D74" s="29"/>
      <c r="E74" s="30"/>
    </row>
    <row r="75" customFormat="false" ht="17.75" hidden="false" customHeight="false" outlineLevel="0" collapsed="false">
      <c r="B75" s="24" t="s">
        <v>219</v>
      </c>
      <c r="C75" s="24"/>
      <c r="D75" s="24"/>
      <c r="E75" s="24"/>
    </row>
    <row r="76" customFormat="false" ht="17.75" hidden="false" customHeight="false" outlineLevel="0" collapsed="false">
      <c r="B76" s="35" t="s">
        <v>9</v>
      </c>
      <c r="C76" s="35" t="s">
        <v>10</v>
      </c>
      <c r="D76" s="36" t="s">
        <v>11</v>
      </c>
      <c r="E76" s="37" t="s">
        <v>12</v>
      </c>
    </row>
    <row r="77" customFormat="false" ht="30.25" hidden="false" customHeight="false" outlineLevel="0" collapsed="false">
      <c r="B77" s="38" t="s">
        <v>13</v>
      </c>
      <c r="C77" s="38" t="s">
        <v>14</v>
      </c>
      <c r="D77" s="39" t="s">
        <v>15</v>
      </c>
      <c r="E77" s="40" t="n">
        <v>12086</v>
      </c>
    </row>
    <row r="78" customFormat="false" ht="30.25" hidden="false" customHeight="false" outlineLevel="0" collapsed="false">
      <c r="B78" s="38" t="s">
        <v>16</v>
      </c>
      <c r="C78" s="38" t="s">
        <v>14</v>
      </c>
      <c r="D78" s="39" t="s">
        <v>17</v>
      </c>
      <c r="E78" s="40" t="s">
        <v>18</v>
      </c>
    </row>
    <row r="79" customFormat="false" ht="18.4" hidden="false" customHeight="false" outlineLevel="0" collapsed="false">
      <c r="B79" s="41" t="s">
        <v>220</v>
      </c>
      <c r="C79" s="41" t="s">
        <v>14</v>
      </c>
      <c r="D79" s="42" t="s">
        <v>221</v>
      </c>
      <c r="E79" s="44" t="s">
        <v>222</v>
      </c>
    </row>
    <row r="80" customFormat="false" ht="30.25" hidden="false" customHeight="false" outlineLevel="0" collapsed="false">
      <c r="B80" s="41" t="s">
        <v>83</v>
      </c>
      <c r="C80" s="41" t="s">
        <v>14</v>
      </c>
      <c r="D80" s="42" t="s">
        <v>223</v>
      </c>
      <c r="E80" s="43" t="n">
        <v>346</v>
      </c>
    </row>
    <row r="81" customFormat="false" ht="17.5" hidden="false" customHeight="false" outlineLevel="0" collapsed="false">
      <c r="D81" s="29"/>
      <c r="E81" s="30"/>
    </row>
    <row r="82" customFormat="false" ht="17.75" hidden="false" customHeight="false" outlineLevel="0" collapsed="false">
      <c r="B82" s="24" t="s">
        <v>224</v>
      </c>
      <c r="C82" s="24"/>
      <c r="D82" s="24"/>
      <c r="E82" s="24"/>
    </row>
    <row r="83" customFormat="false" ht="17.75" hidden="false" customHeight="false" outlineLevel="0" collapsed="false">
      <c r="B83" s="35" t="s">
        <v>9</v>
      </c>
      <c r="C83" s="35" t="s">
        <v>10</v>
      </c>
      <c r="D83" s="36" t="s">
        <v>11</v>
      </c>
      <c r="E83" s="37" t="s">
        <v>12</v>
      </c>
    </row>
    <row r="84" customFormat="false" ht="30.25" hidden="false" customHeight="false" outlineLevel="0" collapsed="false">
      <c r="B84" s="38" t="s">
        <v>13</v>
      </c>
      <c r="C84" s="38" t="s">
        <v>14</v>
      </c>
      <c r="D84" s="39" t="s">
        <v>15</v>
      </c>
      <c r="E84" s="40" t="n">
        <v>12086</v>
      </c>
    </row>
    <row r="85" customFormat="false" ht="30.25" hidden="false" customHeight="false" outlineLevel="0" collapsed="false">
      <c r="B85" s="38" t="s">
        <v>16</v>
      </c>
      <c r="C85" s="38" t="s">
        <v>14</v>
      </c>
      <c r="D85" s="39" t="s">
        <v>17</v>
      </c>
      <c r="E85" s="40" t="s">
        <v>18</v>
      </c>
    </row>
    <row r="86" customFormat="false" ht="18.4" hidden="false" customHeight="false" outlineLevel="0" collapsed="false">
      <c r="B86" s="41" t="s">
        <v>225</v>
      </c>
      <c r="C86" s="41" t="s">
        <v>14</v>
      </c>
      <c r="D86" s="42" t="s">
        <v>221</v>
      </c>
      <c r="E86" s="44" t="s">
        <v>226</v>
      </c>
    </row>
    <row r="87" customFormat="false" ht="42.75" hidden="false" customHeight="false" outlineLevel="0" collapsed="false">
      <c r="B87" s="41" t="s">
        <v>227</v>
      </c>
      <c r="C87" s="41" t="s">
        <v>14</v>
      </c>
      <c r="D87" s="42" t="s">
        <v>228</v>
      </c>
      <c r="E87" s="43" t="n">
        <v>240</v>
      </c>
    </row>
    <row r="88" customFormat="false" ht="17.5" hidden="false" customHeight="false" outlineLevel="0" collapsed="false">
      <c r="D88" s="29"/>
      <c r="E88" s="30"/>
    </row>
    <row r="89" customFormat="false" ht="17.75" hidden="false" customHeight="false" outlineLevel="0" collapsed="false">
      <c r="B89" s="24" t="s">
        <v>229</v>
      </c>
      <c r="C89" s="24"/>
      <c r="D89" s="24"/>
      <c r="E89" s="24"/>
    </row>
    <row r="90" customFormat="false" ht="17.75" hidden="false" customHeight="false" outlineLevel="0" collapsed="false">
      <c r="B90" s="35" t="s">
        <v>9</v>
      </c>
      <c r="C90" s="35" t="s">
        <v>10</v>
      </c>
      <c r="D90" s="36" t="s">
        <v>11</v>
      </c>
      <c r="E90" s="37" t="s">
        <v>12</v>
      </c>
    </row>
    <row r="91" customFormat="false" ht="30.25" hidden="false" customHeight="false" outlineLevel="0" collapsed="false">
      <c r="B91" s="38" t="s">
        <v>13</v>
      </c>
      <c r="C91" s="38" t="s">
        <v>14</v>
      </c>
      <c r="D91" s="39" t="s">
        <v>15</v>
      </c>
      <c r="E91" s="40" t="n">
        <v>12086</v>
      </c>
    </row>
    <row r="92" customFormat="false" ht="30.25" hidden="false" customHeight="false" outlineLevel="0" collapsed="false">
      <c r="B92" s="38" t="s">
        <v>16</v>
      </c>
      <c r="C92" s="38" t="s">
        <v>14</v>
      </c>
      <c r="D92" s="39" t="s">
        <v>17</v>
      </c>
      <c r="E92" s="40" t="s">
        <v>18</v>
      </c>
    </row>
    <row r="93" customFormat="false" ht="18.4" hidden="false" customHeight="false" outlineLevel="0" collapsed="false">
      <c r="B93" s="41" t="s">
        <v>230</v>
      </c>
      <c r="C93" s="41" t="s">
        <v>14</v>
      </c>
      <c r="D93" s="42" t="s">
        <v>221</v>
      </c>
      <c r="E93" s="44" t="s">
        <v>231</v>
      </c>
    </row>
    <row r="94" customFormat="false" ht="42.75" hidden="false" customHeight="false" outlineLevel="0" collapsed="false">
      <c r="B94" s="41" t="s">
        <v>232</v>
      </c>
      <c r="C94" s="41" t="s">
        <v>14</v>
      </c>
      <c r="D94" s="42" t="s">
        <v>228</v>
      </c>
      <c r="E94" s="43" t="n">
        <v>435</v>
      </c>
    </row>
    <row r="95" customFormat="false" ht="17.5" hidden="false" customHeight="false" outlineLevel="0" collapsed="false">
      <c r="D95" s="29"/>
      <c r="E95" s="30"/>
    </row>
    <row r="96" customFormat="false" ht="17.75" hidden="false" customHeight="false" outlineLevel="0" collapsed="false">
      <c r="B96" s="24" t="s">
        <v>233</v>
      </c>
      <c r="C96" s="24"/>
      <c r="D96" s="24"/>
      <c r="E96" s="24"/>
    </row>
    <row r="97" customFormat="false" ht="17.75" hidden="false" customHeight="false" outlineLevel="0" collapsed="false">
      <c r="B97" s="35" t="s">
        <v>9</v>
      </c>
      <c r="C97" s="35" t="s">
        <v>10</v>
      </c>
      <c r="D97" s="36" t="s">
        <v>11</v>
      </c>
      <c r="E97" s="37" t="s">
        <v>12</v>
      </c>
    </row>
    <row r="98" customFormat="false" ht="30.25" hidden="false" customHeight="false" outlineLevel="0" collapsed="false">
      <c r="B98" s="38" t="s">
        <v>13</v>
      </c>
      <c r="C98" s="38" t="s">
        <v>14</v>
      </c>
      <c r="D98" s="39" t="s">
        <v>15</v>
      </c>
      <c r="E98" s="40" t="n">
        <v>12086</v>
      </c>
    </row>
    <row r="99" customFormat="false" ht="30.25" hidden="false" customHeight="false" outlineLevel="0" collapsed="false">
      <c r="B99" s="38" t="s">
        <v>16</v>
      </c>
      <c r="C99" s="38" t="s">
        <v>14</v>
      </c>
      <c r="D99" s="39" t="s">
        <v>17</v>
      </c>
      <c r="E99" s="40" t="s">
        <v>18</v>
      </c>
    </row>
    <row r="100" customFormat="false" ht="17.75" hidden="false" customHeight="false" outlineLevel="0" collapsed="false">
      <c r="B100" s="41" t="s">
        <v>234</v>
      </c>
      <c r="C100" s="41" t="s">
        <v>235</v>
      </c>
      <c r="D100" s="42" t="s">
        <v>236</v>
      </c>
      <c r="E100" s="43" t="n">
        <v>2017</v>
      </c>
    </row>
    <row r="101" customFormat="false" ht="30.25" hidden="false" customHeight="false" outlineLevel="0" collapsed="false">
      <c r="B101" s="41" t="s">
        <v>237</v>
      </c>
      <c r="C101" s="41" t="s">
        <v>84</v>
      </c>
      <c r="D101" s="42" t="s">
        <v>238</v>
      </c>
      <c r="E101" s="43" t="n">
        <v>2247</v>
      </c>
    </row>
    <row r="102" customFormat="false" ht="18.4" hidden="false" customHeight="false" outlineLevel="0" collapsed="false">
      <c r="B102" s="41" t="s">
        <v>239</v>
      </c>
      <c r="C102" s="41" t="s">
        <v>104</v>
      </c>
      <c r="D102" s="42" t="s">
        <v>240</v>
      </c>
      <c r="E102" s="44" t="s">
        <v>241</v>
      </c>
    </row>
    <row r="103" customFormat="false" ht="55.25" hidden="false" customHeight="false" outlineLevel="0" collapsed="false">
      <c r="B103" s="41" t="s">
        <v>242</v>
      </c>
      <c r="C103" s="41" t="s">
        <v>14</v>
      </c>
      <c r="D103" s="42" t="s">
        <v>243</v>
      </c>
      <c r="E103" s="43" t="s">
        <v>244</v>
      </c>
    </row>
    <row r="104" customFormat="false" ht="17.5" hidden="false" customHeight="false" outlineLevel="0" collapsed="false">
      <c r="D104" s="29"/>
      <c r="E104" s="30"/>
    </row>
    <row r="105" customFormat="false" ht="17.75" hidden="false" customHeight="false" outlineLevel="0" collapsed="false">
      <c r="B105" s="24" t="s">
        <v>245</v>
      </c>
      <c r="C105" s="24"/>
      <c r="D105" s="24"/>
      <c r="E105" s="24"/>
    </row>
    <row r="106" customFormat="false" ht="17.75" hidden="false" customHeight="false" outlineLevel="0" collapsed="false">
      <c r="B106" s="35" t="s">
        <v>9</v>
      </c>
      <c r="C106" s="35" t="s">
        <v>10</v>
      </c>
      <c r="D106" s="36" t="s">
        <v>11</v>
      </c>
      <c r="E106" s="37" t="s">
        <v>12</v>
      </c>
    </row>
    <row r="107" customFormat="false" ht="30.25" hidden="false" customHeight="false" outlineLevel="0" collapsed="false">
      <c r="B107" s="38" t="s">
        <v>13</v>
      </c>
      <c r="C107" s="38" t="s">
        <v>14</v>
      </c>
      <c r="D107" s="39" t="s">
        <v>15</v>
      </c>
      <c r="E107" s="40" t="n">
        <v>12086</v>
      </c>
    </row>
    <row r="108" customFormat="false" ht="30.25" hidden="false" customHeight="false" outlineLevel="0" collapsed="false">
      <c r="B108" s="38" t="s">
        <v>16</v>
      </c>
      <c r="C108" s="38" t="s">
        <v>14</v>
      </c>
      <c r="D108" s="39" t="s">
        <v>17</v>
      </c>
      <c r="E108" s="40" t="s">
        <v>18</v>
      </c>
    </row>
    <row r="109" customFormat="false" ht="30.25" hidden="false" customHeight="false" outlineLevel="0" collapsed="false">
      <c r="B109" s="41" t="s">
        <v>234</v>
      </c>
      <c r="C109" s="41" t="s">
        <v>235</v>
      </c>
      <c r="D109" s="42" t="s">
        <v>246</v>
      </c>
      <c r="E109" s="43" t="n">
        <v>2018</v>
      </c>
    </row>
    <row r="110" customFormat="false" ht="42.75" hidden="false" customHeight="false" outlineLevel="0" collapsed="false">
      <c r="B110" s="41" t="s">
        <v>247</v>
      </c>
      <c r="C110" s="41" t="s">
        <v>84</v>
      </c>
      <c r="D110" s="42" t="s">
        <v>248</v>
      </c>
      <c r="E110" s="43" t="n">
        <v>2580</v>
      </c>
    </row>
    <row r="111" customFormat="false" ht="42.75" hidden="false" customHeight="false" outlineLevel="0" collapsed="false">
      <c r="B111" s="41" t="s">
        <v>249</v>
      </c>
      <c r="C111" s="41" t="s">
        <v>84</v>
      </c>
      <c r="D111" s="42" t="s">
        <v>250</v>
      </c>
      <c r="E111" s="43" t="n">
        <v>13300</v>
      </c>
    </row>
    <row r="112" customFormat="false" ht="55.25" hidden="false" customHeight="false" outlineLevel="0" collapsed="false">
      <c r="B112" s="41" t="s">
        <v>251</v>
      </c>
      <c r="C112" s="41" t="s">
        <v>84</v>
      </c>
      <c r="D112" s="42" t="s">
        <v>252</v>
      </c>
      <c r="E112" s="43" t="n">
        <v>15880</v>
      </c>
    </row>
    <row r="113" customFormat="false" ht="17.5" hidden="false" customHeight="false" outlineLevel="0" collapsed="false">
      <c r="D113" s="29"/>
      <c r="E113" s="30"/>
    </row>
    <row r="114" customFormat="false" ht="17.75" hidden="false" customHeight="false" outlineLevel="0" collapsed="false">
      <c r="B114" s="24" t="s">
        <v>253</v>
      </c>
      <c r="C114" s="24"/>
      <c r="D114" s="24"/>
      <c r="E114" s="24"/>
    </row>
    <row r="115" customFormat="false" ht="17.75" hidden="false" customHeight="false" outlineLevel="0" collapsed="false">
      <c r="B115" s="35" t="s">
        <v>9</v>
      </c>
      <c r="C115" s="35" t="s">
        <v>10</v>
      </c>
      <c r="D115" s="36" t="s">
        <v>11</v>
      </c>
      <c r="E115" s="37" t="s">
        <v>12</v>
      </c>
    </row>
    <row r="116" customFormat="false" ht="30.25" hidden="false" customHeight="false" outlineLevel="0" collapsed="false">
      <c r="B116" s="38" t="s">
        <v>13</v>
      </c>
      <c r="C116" s="38" t="s">
        <v>14</v>
      </c>
      <c r="D116" s="39" t="s">
        <v>15</v>
      </c>
      <c r="E116" s="40" t="n">
        <v>12086</v>
      </c>
    </row>
    <row r="117" customFormat="false" ht="30.25" hidden="false" customHeight="false" outlineLevel="0" collapsed="false">
      <c r="B117" s="38" t="s">
        <v>16</v>
      </c>
      <c r="C117" s="38" t="s">
        <v>14</v>
      </c>
      <c r="D117" s="39" t="s">
        <v>17</v>
      </c>
      <c r="E117" s="40" t="s">
        <v>18</v>
      </c>
    </row>
    <row r="118" customFormat="false" ht="30.25" hidden="false" customHeight="false" outlineLevel="0" collapsed="false">
      <c r="B118" s="41" t="s">
        <v>234</v>
      </c>
      <c r="C118" s="41" t="s">
        <v>235</v>
      </c>
      <c r="D118" s="42" t="s">
        <v>254</v>
      </c>
      <c r="E118" s="43" t="n">
        <v>2017</v>
      </c>
    </row>
    <row r="119" customFormat="false" ht="30.25" hidden="false" customHeight="false" outlineLevel="0" collapsed="false">
      <c r="B119" s="41" t="s">
        <v>247</v>
      </c>
      <c r="C119" s="41" t="s">
        <v>84</v>
      </c>
      <c r="D119" s="42" t="s">
        <v>255</v>
      </c>
      <c r="E119" s="43" t="n">
        <v>3000</v>
      </c>
    </row>
    <row r="120" customFormat="false" ht="42.75" hidden="false" customHeight="false" outlineLevel="0" collapsed="false">
      <c r="B120" s="41" t="s">
        <v>249</v>
      </c>
      <c r="C120" s="41" t="s">
        <v>84</v>
      </c>
      <c r="D120" s="42" t="s">
        <v>256</v>
      </c>
      <c r="E120" s="43" t="n">
        <v>12000</v>
      </c>
    </row>
    <row r="121" customFormat="false" ht="30.25" hidden="false" customHeight="false" outlineLevel="0" collapsed="false">
      <c r="B121" s="41" t="s">
        <v>251</v>
      </c>
      <c r="C121" s="41" t="s">
        <v>84</v>
      </c>
      <c r="D121" s="42" t="s">
        <v>257</v>
      </c>
      <c r="E121" s="43" t="n">
        <v>15000</v>
      </c>
    </row>
    <row r="122" customFormat="false" ht="17.5" hidden="false" customHeight="false" outlineLevel="0" collapsed="false">
      <c r="D122" s="29"/>
      <c r="E122" s="30"/>
    </row>
    <row r="123" customFormat="false" ht="17.75" hidden="false" customHeight="false" outlineLevel="0" collapsed="false">
      <c r="B123" s="24" t="s">
        <v>258</v>
      </c>
      <c r="C123" s="24"/>
      <c r="D123" s="24"/>
      <c r="E123" s="24"/>
    </row>
    <row r="124" customFormat="false" ht="17.75" hidden="false" customHeight="false" outlineLevel="0" collapsed="false">
      <c r="B124" s="35" t="s">
        <v>9</v>
      </c>
      <c r="C124" s="35" t="s">
        <v>10</v>
      </c>
      <c r="D124" s="36" t="s">
        <v>11</v>
      </c>
      <c r="E124" s="37" t="s">
        <v>12</v>
      </c>
    </row>
    <row r="125" customFormat="false" ht="30.25" hidden="false" customHeight="false" outlineLevel="0" collapsed="false">
      <c r="B125" s="38" t="s">
        <v>13</v>
      </c>
      <c r="C125" s="38" t="s">
        <v>14</v>
      </c>
      <c r="D125" s="39" t="s">
        <v>15</v>
      </c>
      <c r="E125" s="40" t="n">
        <v>12086</v>
      </c>
    </row>
    <row r="126" customFormat="false" ht="30.25" hidden="false" customHeight="false" outlineLevel="0" collapsed="false">
      <c r="B126" s="38" t="s">
        <v>16</v>
      </c>
      <c r="C126" s="38" t="s">
        <v>14</v>
      </c>
      <c r="D126" s="39" t="s">
        <v>17</v>
      </c>
      <c r="E126" s="40" t="s">
        <v>18</v>
      </c>
    </row>
    <row r="127" customFormat="false" ht="30.25" hidden="false" customHeight="false" outlineLevel="0" collapsed="false">
      <c r="B127" s="41" t="s">
        <v>259</v>
      </c>
      <c r="C127" s="41" t="s">
        <v>14</v>
      </c>
      <c r="D127" s="42" t="s">
        <v>260</v>
      </c>
      <c r="E127" s="43" t="s">
        <v>261</v>
      </c>
    </row>
    <row r="128" customFormat="false" ht="42.75" hidden="false" customHeight="false" outlineLevel="0" collapsed="false">
      <c r="B128" s="41" t="s">
        <v>43</v>
      </c>
      <c r="C128" s="41" t="s">
        <v>14</v>
      </c>
      <c r="D128" s="42" t="s">
        <v>262</v>
      </c>
      <c r="E128" s="43" t="s">
        <v>263</v>
      </c>
    </row>
    <row r="129" customFormat="false" ht="17.75" hidden="false" customHeight="false" outlineLevel="0" collapsed="false">
      <c r="B129" s="41" t="s">
        <v>37</v>
      </c>
      <c r="C129" s="41" t="s">
        <v>14</v>
      </c>
      <c r="D129" s="42" t="s">
        <v>264</v>
      </c>
      <c r="E129" s="43" t="s">
        <v>39</v>
      </c>
    </row>
    <row r="130" customFormat="false" ht="17.75" hidden="false" customHeight="false" outlineLevel="0" collapsed="false">
      <c r="B130" s="41" t="s">
        <v>40</v>
      </c>
      <c r="C130" s="41" t="s">
        <v>14</v>
      </c>
      <c r="D130" s="42" t="s">
        <v>265</v>
      </c>
      <c r="E130" s="43" t="n">
        <v>104</v>
      </c>
    </row>
    <row r="131" customFormat="false" ht="55.25" hidden="false" customHeight="false" outlineLevel="0" collapsed="false">
      <c r="B131" s="41" t="s">
        <v>46</v>
      </c>
      <c r="C131" s="41" t="s">
        <v>14</v>
      </c>
      <c r="D131" s="42" t="s">
        <v>266</v>
      </c>
      <c r="E131" s="43" t="s">
        <v>267</v>
      </c>
    </row>
    <row r="132" customFormat="false" ht="55.25" hidden="false" customHeight="false" outlineLevel="0" collapsed="false">
      <c r="B132" s="41" t="s">
        <v>49</v>
      </c>
      <c r="C132" s="41" t="s">
        <v>14</v>
      </c>
      <c r="D132" s="42" t="s">
        <v>268</v>
      </c>
      <c r="E132" s="43" t="s">
        <v>269</v>
      </c>
    </row>
    <row r="133" customFormat="false" ht="30.25" hidden="false" customHeight="false" outlineLevel="0" collapsed="false">
      <c r="B133" s="41" t="s">
        <v>52</v>
      </c>
      <c r="C133" s="41" t="s">
        <v>14</v>
      </c>
      <c r="D133" s="42" t="s">
        <v>270</v>
      </c>
      <c r="E133" s="43" t="n">
        <v>30342</v>
      </c>
    </row>
    <row r="134" customFormat="false" ht="42.75" hidden="false" customHeight="false" outlineLevel="0" collapsed="false">
      <c r="B134" s="41" t="s">
        <v>54</v>
      </c>
      <c r="C134" s="41" t="s">
        <v>14</v>
      </c>
      <c r="D134" s="42" t="s">
        <v>271</v>
      </c>
      <c r="E134" s="43" t="n">
        <v>3019</v>
      </c>
    </row>
    <row r="135" customFormat="false" ht="55.25" hidden="false" customHeight="false" outlineLevel="0" collapsed="false">
      <c r="B135" s="41" t="s">
        <v>272</v>
      </c>
      <c r="C135" s="41" t="s">
        <v>14</v>
      </c>
      <c r="D135" s="42" t="s">
        <v>273</v>
      </c>
      <c r="E135" s="43" t="s">
        <v>274</v>
      </c>
    </row>
  </sheetData>
  <mergeCells count="12">
    <mergeCell ref="B2:E4"/>
    <mergeCell ref="B6:E6"/>
    <mergeCell ref="B8:E8"/>
    <mergeCell ref="B10:E10"/>
    <mergeCell ref="B38:E38"/>
    <mergeCell ref="B75:E75"/>
    <mergeCell ref="B82:E82"/>
    <mergeCell ref="B89:E89"/>
    <mergeCell ref="B96:E96"/>
    <mergeCell ref="B105:E105"/>
    <mergeCell ref="B114:E114"/>
    <mergeCell ref="B123:E123"/>
  </mergeCells>
  <hyperlinks>
    <hyperlink ref="E25" location="'Values List'!B256" display="MULTI-FAMILY RESIDENTIAL"/>
    <hyperlink ref="E26" location="'Values List'!B273" display="TOWNHOUSE"/>
    <hyperlink ref="E27" location="'Values List'!B622" display="IN CUL-DE-SAC, HAS MOUNTAIN VIEW"/>
    <hyperlink ref="E32" location="'Values List'!B676" display="MORE THAN ONE LOT"/>
    <hyperlink ref="E44" location="'Values List'!B1126" display="2+A"/>
    <hyperlink ref="E50" location="'Values List'!B679" display="DETACHED GARAGE"/>
    <hyperlink ref="E52" location="'Values List'!B707" display="HEATED POOL"/>
    <hyperlink ref="E53" location="'Values List'!B752" display="SPANISH"/>
    <hyperlink ref="E54" location="'Values List'!B808" display="WOOD"/>
    <hyperlink ref="E55" location="'Values List'!B828" display="STUCCO"/>
    <hyperlink ref="E56" location="'Values List'!B880" display="CONCRETE"/>
    <hyperlink ref="E57" location="'Values List'!B904" display="ASPHALT"/>
    <hyperlink ref="E58" location="'Values List'!B943" display="GABLE"/>
    <hyperlink ref="E59" location="'Values List'!B966" display="BASEBOARD"/>
    <hyperlink ref="E60" location="'Values List'!B1006" display="GAS"/>
    <hyperlink ref="E61" location="'Values List'!B1029" display="CENTRAL"/>
    <hyperlink ref="E63" location="'Values List'!B1045" display="FULL BASEMENT"/>
    <hyperlink ref="E65" location="'Values List'!B1055" display="FAIR"/>
    <hyperlink ref="E66" location="'Values List'!B1063" display="CARPET, MARBLE"/>
    <hyperlink ref="E68" location="'Values List'!B1094" display="PLASTER"/>
    <hyperlink ref="E69" location="'Values List'!B1114" display="MUNICIPAL"/>
    <hyperlink ref="E70" location="'Values List'!B1121" display="SEPTIC"/>
    <hyperlink ref="E72" location="'Values List'!B1134" display="LAUNDRY ROOM, HOME OFFICE"/>
    <hyperlink ref="E73" location="'Values List'!B1152" display="WINE CELLAR, TENNIS COURT"/>
    <hyperlink ref="E79" location="'Values List'!B1180" display="1ST FLOOR"/>
    <hyperlink ref="E86" location="'Values List'!B1258" display="DRIVEWAY"/>
    <hyperlink ref="E93" location="'Values List'!B1296" display="GREENHOUSE"/>
    <hyperlink ref="E102" location="'Values List'!B1330" display="AGRICULTURAL, LOW INCOME"/>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E6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2" activeCellId="0" sqref="B2"/>
    </sheetView>
  </sheetViews>
  <sheetFormatPr defaultColWidth="14.4453125" defaultRowHeight="16.35" zeroHeight="false" outlineLevelRow="0" outlineLevelCol="0"/>
  <cols>
    <col collapsed="false" customWidth="false" hidden="false" outlineLevel="0" max="1" min="1" style="1" width="14.43"/>
    <col collapsed="false" customWidth="true" hidden="false" outlineLevel="0" max="4" min="2" style="1" width="28.71"/>
    <col collapsed="false" customWidth="true" hidden="false" outlineLevel="0" max="5" min="5" style="1" width="44.14"/>
    <col collapsed="false" customWidth="false" hidden="false" outlineLevel="0" max="1024" min="6" style="1" width="14.43"/>
  </cols>
  <sheetData>
    <row r="1" customFormat="false" ht="17.5" hidden="false" customHeight="false" outlineLevel="0" collapsed="false">
      <c r="D1" s="2"/>
      <c r="E1" s="3"/>
    </row>
    <row r="2" customFormat="false" ht="16.35" hidden="false" customHeight="false" outlineLevel="0" collapsed="false">
      <c r="B2" s="4"/>
      <c r="C2" s="4"/>
      <c r="D2" s="4"/>
      <c r="E2" s="4"/>
    </row>
    <row r="3" customFormat="false" ht="16.35" hidden="false" customHeight="false" outlineLevel="0" collapsed="false">
      <c r="B3" s="4"/>
      <c r="C3" s="4"/>
      <c r="D3" s="4"/>
      <c r="E3" s="4"/>
    </row>
    <row r="4" customFormat="false" ht="16.35" hidden="false" customHeight="false" outlineLevel="0" collapsed="false">
      <c r="B4" s="4"/>
      <c r="C4" s="4"/>
      <c r="D4" s="4"/>
      <c r="E4" s="4"/>
    </row>
    <row r="5" customFormat="false" ht="17.5" hidden="false" customHeight="false" outlineLevel="0" collapsed="false">
      <c r="D5" s="2"/>
      <c r="E5" s="3"/>
    </row>
    <row r="6" customFormat="false" ht="17.5" hidden="false" customHeight="false" outlineLevel="0" collapsed="false">
      <c r="B6" s="5" t="s">
        <v>275</v>
      </c>
      <c r="C6" s="5"/>
      <c r="D6" s="5"/>
      <c r="E6" s="5"/>
    </row>
    <row r="7" customFormat="false" ht="17.5" hidden="false" customHeight="false" outlineLevel="0" collapsed="false">
      <c r="B7" s="6"/>
      <c r="C7" s="6"/>
      <c r="D7" s="6"/>
      <c r="E7" s="6"/>
    </row>
    <row r="8" customFormat="false" ht="17.75" hidden="false" customHeight="true" outlineLevel="0" collapsed="false">
      <c r="B8" s="45" t="s">
        <v>70</v>
      </c>
      <c r="C8" s="45"/>
      <c r="D8" s="45"/>
      <c r="E8" s="45"/>
    </row>
    <row r="9" customFormat="false" ht="17.5" hidden="false" customHeight="false" outlineLevel="0" collapsed="false">
      <c r="D9" s="2"/>
      <c r="E9" s="3"/>
    </row>
    <row r="10" customFormat="false" ht="17.75" hidden="false" customHeight="false" outlineLevel="0" collapsed="false">
      <c r="B10" s="24" t="s">
        <v>258</v>
      </c>
      <c r="C10" s="24"/>
      <c r="D10" s="24"/>
      <c r="E10" s="24"/>
    </row>
    <row r="11" customFormat="false" ht="17.75" hidden="false" customHeight="false" outlineLevel="0" collapsed="false">
      <c r="B11" s="15" t="s">
        <v>9</v>
      </c>
      <c r="C11" s="15" t="s">
        <v>10</v>
      </c>
      <c r="D11" s="16" t="s">
        <v>11</v>
      </c>
      <c r="E11" s="17" t="s">
        <v>12</v>
      </c>
    </row>
    <row r="12" customFormat="false" ht="30.25" hidden="false" customHeight="false" outlineLevel="0" collapsed="false">
      <c r="B12" s="18" t="s">
        <v>13</v>
      </c>
      <c r="C12" s="18" t="s">
        <v>14</v>
      </c>
      <c r="D12" s="19" t="s">
        <v>15</v>
      </c>
      <c r="E12" s="20" t="n">
        <v>12086</v>
      </c>
    </row>
    <row r="13" customFormat="false" ht="30.25" hidden="false" customHeight="false" outlineLevel="0" collapsed="false">
      <c r="B13" s="18" t="s">
        <v>16</v>
      </c>
      <c r="C13" s="18" t="s">
        <v>14</v>
      </c>
      <c r="D13" s="19" t="s">
        <v>17</v>
      </c>
      <c r="E13" s="20" t="s">
        <v>18</v>
      </c>
    </row>
    <row r="14" customFormat="false" ht="30.25" hidden="false" customHeight="false" outlineLevel="0" collapsed="false">
      <c r="B14" s="25" t="s">
        <v>259</v>
      </c>
      <c r="C14" s="25" t="s">
        <v>14</v>
      </c>
      <c r="D14" s="26" t="s">
        <v>260</v>
      </c>
      <c r="E14" s="27" t="s">
        <v>261</v>
      </c>
    </row>
    <row r="15" customFormat="false" ht="42.75" hidden="false" customHeight="false" outlineLevel="0" collapsed="false">
      <c r="B15" s="25" t="s">
        <v>43</v>
      </c>
      <c r="C15" s="25" t="s">
        <v>14</v>
      </c>
      <c r="D15" s="26" t="s">
        <v>262</v>
      </c>
      <c r="E15" s="27" t="s">
        <v>263</v>
      </c>
    </row>
    <row r="16" customFormat="false" ht="17.75" hidden="false" customHeight="false" outlineLevel="0" collapsed="false">
      <c r="B16" s="25" t="s">
        <v>37</v>
      </c>
      <c r="C16" s="25" t="s">
        <v>14</v>
      </c>
      <c r="D16" s="26" t="s">
        <v>264</v>
      </c>
      <c r="E16" s="27" t="s">
        <v>39</v>
      </c>
    </row>
    <row r="17" customFormat="false" ht="17.75" hidden="false" customHeight="false" outlineLevel="0" collapsed="false">
      <c r="B17" s="25" t="s">
        <v>40</v>
      </c>
      <c r="C17" s="25" t="s">
        <v>14</v>
      </c>
      <c r="D17" s="26" t="s">
        <v>265</v>
      </c>
      <c r="E17" s="27" t="n">
        <v>104</v>
      </c>
    </row>
    <row r="18" customFormat="false" ht="55.25" hidden="false" customHeight="false" outlineLevel="0" collapsed="false">
      <c r="B18" s="25" t="s">
        <v>46</v>
      </c>
      <c r="C18" s="25" t="s">
        <v>14</v>
      </c>
      <c r="D18" s="26" t="s">
        <v>266</v>
      </c>
      <c r="E18" s="27" t="s">
        <v>267</v>
      </c>
    </row>
    <row r="19" customFormat="false" ht="55.25" hidden="false" customHeight="false" outlineLevel="0" collapsed="false">
      <c r="B19" s="25" t="s">
        <v>49</v>
      </c>
      <c r="C19" s="25" t="s">
        <v>14</v>
      </c>
      <c r="D19" s="26" t="s">
        <v>268</v>
      </c>
      <c r="E19" s="27" t="s">
        <v>269</v>
      </c>
    </row>
    <row r="20" customFormat="false" ht="30.25" hidden="false" customHeight="false" outlineLevel="0" collapsed="false">
      <c r="B20" s="25" t="s">
        <v>52</v>
      </c>
      <c r="C20" s="25" t="s">
        <v>14</v>
      </c>
      <c r="D20" s="26" t="s">
        <v>270</v>
      </c>
      <c r="E20" s="27" t="n">
        <v>30342</v>
      </c>
    </row>
    <row r="21" customFormat="false" ht="42.75" hidden="false" customHeight="false" outlineLevel="0" collapsed="false">
      <c r="B21" s="25" t="s">
        <v>54</v>
      </c>
      <c r="C21" s="25" t="s">
        <v>14</v>
      </c>
      <c r="D21" s="26" t="s">
        <v>271</v>
      </c>
      <c r="E21" s="27" t="n">
        <v>3019</v>
      </c>
    </row>
    <row r="22" customFormat="false" ht="55.25" hidden="false" customHeight="false" outlineLevel="0" collapsed="false">
      <c r="B22" s="25" t="s">
        <v>272</v>
      </c>
      <c r="C22" s="25" t="s">
        <v>14</v>
      </c>
      <c r="D22" s="26" t="s">
        <v>273</v>
      </c>
      <c r="E22" s="27" t="s">
        <v>274</v>
      </c>
    </row>
    <row r="23" customFormat="false" ht="17.5" hidden="false" customHeight="false" outlineLevel="0" collapsed="false">
      <c r="D23" s="2"/>
      <c r="E23" s="3"/>
    </row>
    <row r="24" customFormat="false" ht="17.75" hidden="false" customHeight="false" outlineLevel="0" collapsed="false">
      <c r="B24" s="24" t="s">
        <v>276</v>
      </c>
      <c r="C24" s="24"/>
      <c r="D24" s="24"/>
      <c r="E24" s="24"/>
    </row>
    <row r="25" customFormat="false" ht="17.75" hidden="false" customHeight="false" outlineLevel="0" collapsed="false">
      <c r="B25" s="15" t="s">
        <v>9</v>
      </c>
      <c r="C25" s="15" t="s">
        <v>10</v>
      </c>
      <c r="D25" s="16" t="s">
        <v>11</v>
      </c>
      <c r="E25" s="17" t="s">
        <v>12</v>
      </c>
    </row>
    <row r="26" customFormat="false" ht="30.25" hidden="false" customHeight="false" outlineLevel="0" collapsed="false">
      <c r="B26" s="18" t="s">
        <v>13</v>
      </c>
      <c r="C26" s="18" t="s">
        <v>14</v>
      </c>
      <c r="D26" s="19" t="s">
        <v>15</v>
      </c>
      <c r="E26" s="20" t="n">
        <v>12086</v>
      </c>
    </row>
    <row r="27" customFormat="false" ht="30.25" hidden="false" customHeight="false" outlineLevel="0" collapsed="false">
      <c r="B27" s="18" t="s">
        <v>16</v>
      </c>
      <c r="C27" s="18" t="s">
        <v>14</v>
      </c>
      <c r="D27" s="19" t="s">
        <v>17</v>
      </c>
      <c r="E27" s="20" t="s">
        <v>18</v>
      </c>
    </row>
    <row r="28" customFormat="false" ht="17.75" hidden="false" customHeight="false" outlineLevel="0" collapsed="false">
      <c r="B28" s="25" t="s">
        <v>277</v>
      </c>
      <c r="C28" s="25" t="s">
        <v>14</v>
      </c>
      <c r="D28" s="26" t="s">
        <v>278</v>
      </c>
      <c r="E28" s="28" t="s">
        <v>279</v>
      </c>
    </row>
    <row r="29" customFormat="false" ht="30.25" hidden="false" customHeight="false" outlineLevel="0" collapsed="false">
      <c r="B29" s="25" t="s">
        <v>280</v>
      </c>
      <c r="C29" s="25" t="s">
        <v>20</v>
      </c>
      <c r="D29" s="26" t="s">
        <v>281</v>
      </c>
      <c r="E29" s="46" t="n">
        <v>40905</v>
      </c>
    </row>
    <row r="30" customFormat="false" ht="67.75" hidden="false" customHeight="false" outlineLevel="0" collapsed="false">
      <c r="B30" s="25" t="s">
        <v>282</v>
      </c>
      <c r="C30" s="25" t="s">
        <v>20</v>
      </c>
      <c r="D30" s="26" t="s">
        <v>283</v>
      </c>
      <c r="E30" s="46" t="n">
        <v>40903</v>
      </c>
    </row>
    <row r="31" customFormat="false" ht="30.25" hidden="false" customHeight="false" outlineLevel="0" collapsed="false">
      <c r="B31" s="25" t="s">
        <v>284</v>
      </c>
      <c r="C31" s="25" t="s">
        <v>14</v>
      </c>
      <c r="D31" s="26" t="s">
        <v>285</v>
      </c>
      <c r="E31" s="27" t="n">
        <v>9056</v>
      </c>
    </row>
    <row r="32" customFormat="false" ht="30.25" hidden="false" customHeight="false" outlineLevel="0" collapsed="false">
      <c r="B32" s="25" t="s">
        <v>286</v>
      </c>
      <c r="C32" s="25" t="s">
        <v>14</v>
      </c>
      <c r="D32" s="26" t="s">
        <v>287</v>
      </c>
      <c r="E32" s="27" t="n">
        <v>595</v>
      </c>
    </row>
    <row r="33" customFormat="false" ht="42.75" hidden="false" customHeight="false" outlineLevel="0" collapsed="false">
      <c r="B33" s="25" t="s">
        <v>288</v>
      </c>
      <c r="C33" s="25" t="s">
        <v>14</v>
      </c>
      <c r="D33" s="26" t="s">
        <v>289</v>
      </c>
      <c r="E33" s="27" t="s">
        <v>290</v>
      </c>
    </row>
    <row r="34" customFormat="false" ht="17.75" hidden="false" customHeight="false" outlineLevel="0" collapsed="false">
      <c r="B34" s="25" t="s">
        <v>291</v>
      </c>
      <c r="C34" s="25" t="s">
        <v>84</v>
      </c>
      <c r="D34" s="26" t="s">
        <v>292</v>
      </c>
      <c r="E34" s="27" t="n">
        <v>170000</v>
      </c>
    </row>
    <row r="35" customFormat="false" ht="17.75" hidden="false" customHeight="false" outlineLevel="0" collapsed="false">
      <c r="B35" s="25" t="s">
        <v>293</v>
      </c>
      <c r="C35" s="25" t="s">
        <v>14</v>
      </c>
      <c r="D35" s="26" t="s">
        <v>294</v>
      </c>
      <c r="E35" s="28" t="s">
        <v>295</v>
      </c>
    </row>
    <row r="36" customFormat="false" ht="42.75" hidden="false" customHeight="false" outlineLevel="0" collapsed="false">
      <c r="B36" s="25" t="s">
        <v>296</v>
      </c>
      <c r="C36" s="25" t="s">
        <v>60</v>
      </c>
      <c r="D36" s="26" t="s">
        <v>297</v>
      </c>
      <c r="E36" s="27" t="n">
        <v>142.03</v>
      </c>
    </row>
    <row r="37" customFormat="false" ht="42.75" hidden="false" customHeight="false" outlineLevel="0" collapsed="false">
      <c r="B37" s="25" t="s">
        <v>298</v>
      </c>
      <c r="C37" s="25" t="s">
        <v>299</v>
      </c>
      <c r="D37" s="26" t="s">
        <v>300</v>
      </c>
      <c r="E37" s="27" t="n">
        <f aca="false">FALSE()</f>
        <v>0</v>
      </c>
    </row>
    <row r="38" customFormat="false" ht="42.75" hidden="false" customHeight="false" outlineLevel="0" collapsed="false">
      <c r="B38" s="25" t="s">
        <v>301</v>
      </c>
      <c r="C38" s="25" t="s">
        <v>14</v>
      </c>
      <c r="D38" s="26" t="s">
        <v>302</v>
      </c>
      <c r="E38" s="28" t="s">
        <v>303</v>
      </c>
    </row>
    <row r="39" customFormat="false" ht="30.25" hidden="false" customHeight="false" outlineLevel="0" collapsed="false">
      <c r="B39" s="25" t="s">
        <v>304</v>
      </c>
      <c r="C39" s="25" t="s">
        <v>14</v>
      </c>
      <c r="D39" s="26" t="s">
        <v>305</v>
      </c>
      <c r="E39" s="27" t="s">
        <v>306</v>
      </c>
    </row>
    <row r="40" customFormat="false" ht="30.25" hidden="false" customHeight="false" outlineLevel="0" collapsed="false">
      <c r="B40" s="25" t="s">
        <v>307</v>
      </c>
      <c r="C40" s="25" t="s">
        <v>14</v>
      </c>
      <c r="D40" s="26" t="s">
        <v>308</v>
      </c>
      <c r="E40" s="27" t="s">
        <v>309</v>
      </c>
    </row>
    <row r="41" customFormat="false" ht="30.25" hidden="false" customHeight="false" outlineLevel="0" collapsed="false">
      <c r="B41" s="25" t="s">
        <v>310</v>
      </c>
      <c r="C41" s="25" t="s">
        <v>14</v>
      </c>
      <c r="D41" s="26" t="s">
        <v>311</v>
      </c>
      <c r="E41" s="27" t="s">
        <v>312</v>
      </c>
    </row>
    <row r="42" customFormat="false" ht="30.25" hidden="false" customHeight="false" outlineLevel="0" collapsed="false">
      <c r="B42" s="25" t="s">
        <v>313</v>
      </c>
      <c r="C42" s="25" t="s">
        <v>14</v>
      </c>
      <c r="D42" s="26" t="s">
        <v>314</v>
      </c>
      <c r="E42" s="27" t="s">
        <v>309</v>
      </c>
    </row>
    <row r="43" customFormat="false" ht="17.75" hidden="false" customHeight="false" outlineLevel="0" collapsed="false">
      <c r="B43" s="25" t="s">
        <v>315</v>
      </c>
      <c r="C43" s="25" t="s">
        <v>14</v>
      </c>
      <c r="D43" s="26" t="s">
        <v>316</v>
      </c>
      <c r="E43" s="27" t="s">
        <v>263</v>
      </c>
    </row>
    <row r="44" customFormat="false" ht="17.75" hidden="false" customHeight="false" outlineLevel="0" collapsed="false">
      <c r="B44" s="25" t="s">
        <v>317</v>
      </c>
      <c r="C44" s="25" t="s">
        <v>14</v>
      </c>
      <c r="D44" s="26" t="s">
        <v>318</v>
      </c>
      <c r="E44" s="27" t="n">
        <v>1</v>
      </c>
    </row>
    <row r="45" customFormat="false" ht="17.75" hidden="false" customHeight="false" outlineLevel="0" collapsed="false">
      <c r="B45" s="25" t="s">
        <v>319</v>
      </c>
      <c r="C45" s="25" t="s">
        <v>14</v>
      </c>
      <c r="D45" s="26" t="s">
        <v>320</v>
      </c>
      <c r="E45" s="27" t="s">
        <v>321</v>
      </c>
    </row>
    <row r="46" customFormat="false" ht="17.75" hidden="false" customHeight="false" outlineLevel="0" collapsed="false">
      <c r="B46" s="25" t="s">
        <v>322</v>
      </c>
      <c r="C46" s="25" t="s">
        <v>14</v>
      </c>
      <c r="D46" s="26" t="s">
        <v>323</v>
      </c>
      <c r="E46" s="27" t="s">
        <v>324</v>
      </c>
    </row>
    <row r="47" customFormat="false" ht="17.75" hidden="false" customHeight="false" outlineLevel="0" collapsed="false">
      <c r="B47" s="25" t="s">
        <v>325</v>
      </c>
      <c r="C47" s="25" t="s">
        <v>14</v>
      </c>
      <c r="D47" s="26" t="s">
        <v>326</v>
      </c>
      <c r="E47" s="27" t="n">
        <v>85024</v>
      </c>
    </row>
    <row r="48" customFormat="false" ht="30.25" hidden="false" customHeight="false" outlineLevel="0" collapsed="false">
      <c r="B48" s="25" t="s">
        <v>327</v>
      </c>
      <c r="C48" s="25" t="s">
        <v>14</v>
      </c>
      <c r="D48" s="26" t="s">
        <v>328</v>
      </c>
      <c r="E48" s="27" t="n">
        <v>3019</v>
      </c>
    </row>
    <row r="49" customFormat="false" ht="30.25" hidden="false" customHeight="false" outlineLevel="0" collapsed="false">
      <c r="B49" s="25" t="s">
        <v>329</v>
      </c>
      <c r="C49" s="25" t="s">
        <v>14</v>
      </c>
      <c r="D49" s="26" t="s">
        <v>330</v>
      </c>
      <c r="E49" s="27" t="s">
        <v>306</v>
      </c>
    </row>
    <row r="50" customFormat="false" ht="30.25" hidden="false" customHeight="false" outlineLevel="0" collapsed="false">
      <c r="B50" s="25" t="s">
        <v>331</v>
      </c>
      <c r="C50" s="25" t="s">
        <v>14</v>
      </c>
      <c r="D50" s="26" t="s">
        <v>332</v>
      </c>
      <c r="E50" s="27" t="s">
        <v>309</v>
      </c>
    </row>
    <row r="51" customFormat="false" ht="30.25" hidden="false" customHeight="false" outlineLevel="0" collapsed="false">
      <c r="B51" s="25" t="s">
        <v>333</v>
      </c>
      <c r="C51" s="25" t="s">
        <v>14</v>
      </c>
      <c r="D51" s="26" t="s">
        <v>334</v>
      </c>
      <c r="E51" s="27" t="s">
        <v>312</v>
      </c>
    </row>
    <row r="52" customFormat="false" ht="30.25" hidden="false" customHeight="false" outlineLevel="0" collapsed="false">
      <c r="B52" s="25" t="s">
        <v>335</v>
      </c>
      <c r="C52" s="25" t="s">
        <v>14</v>
      </c>
      <c r="D52" s="26" t="s">
        <v>336</v>
      </c>
      <c r="E52" s="27" t="s">
        <v>309</v>
      </c>
    </row>
    <row r="53" customFormat="false" ht="17.75" hidden="false" customHeight="false" outlineLevel="0" collapsed="false">
      <c r="B53" s="25" t="s">
        <v>337</v>
      </c>
      <c r="C53" s="25" t="s">
        <v>14</v>
      </c>
      <c r="D53" s="26" t="s">
        <v>338</v>
      </c>
      <c r="E53" s="27" t="s">
        <v>263</v>
      </c>
    </row>
    <row r="54" customFormat="false" ht="17.75" hidden="false" customHeight="false" outlineLevel="0" collapsed="false">
      <c r="B54" s="25" t="s">
        <v>339</v>
      </c>
      <c r="C54" s="25" t="s">
        <v>14</v>
      </c>
      <c r="D54" s="26" t="s">
        <v>340</v>
      </c>
      <c r="E54" s="27" t="s">
        <v>39</v>
      </c>
    </row>
    <row r="55" customFormat="false" ht="17.75" hidden="false" customHeight="false" outlineLevel="0" collapsed="false">
      <c r="B55" s="25" t="s">
        <v>341</v>
      </c>
      <c r="C55" s="25" t="s">
        <v>14</v>
      </c>
      <c r="D55" s="26" t="s">
        <v>342</v>
      </c>
      <c r="E55" s="27" t="s">
        <v>343</v>
      </c>
    </row>
    <row r="56" customFormat="false" ht="17.75" hidden="false" customHeight="false" outlineLevel="0" collapsed="false">
      <c r="B56" s="25" t="s">
        <v>344</v>
      </c>
      <c r="C56" s="25" t="s">
        <v>14</v>
      </c>
      <c r="D56" s="26" t="s">
        <v>345</v>
      </c>
      <c r="E56" s="27" t="s">
        <v>346</v>
      </c>
    </row>
    <row r="57" customFormat="false" ht="17.75" hidden="false" customHeight="false" outlineLevel="0" collapsed="false">
      <c r="B57" s="25" t="s">
        <v>347</v>
      </c>
      <c r="C57" s="25" t="s">
        <v>14</v>
      </c>
      <c r="D57" s="26" t="s">
        <v>348</v>
      </c>
      <c r="E57" s="27" t="s">
        <v>349</v>
      </c>
    </row>
    <row r="58" customFormat="false" ht="17.75" hidden="false" customHeight="false" outlineLevel="0" collapsed="false">
      <c r="B58" s="25" t="s">
        <v>350</v>
      </c>
      <c r="C58" s="25" t="s">
        <v>14</v>
      </c>
      <c r="D58" s="26" t="s">
        <v>351</v>
      </c>
      <c r="E58" s="27" t="n">
        <v>80222</v>
      </c>
    </row>
    <row r="59" customFormat="false" ht="30.25" hidden="false" customHeight="false" outlineLevel="0" collapsed="false">
      <c r="B59" s="25" t="s">
        <v>352</v>
      </c>
      <c r="C59" s="25" t="s">
        <v>14</v>
      </c>
      <c r="D59" s="26" t="s">
        <v>353</v>
      </c>
      <c r="E59" s="27" t="n">
        <v>3019</v>
      </c>
    </row>
    <row r="60" customFormat="false" ht="17.75" hidden="false" customHeight="false" outlineLevel="0" collapsed="false">
      <c r="B60" s="25" t="s">
        <v>354</v>
      </c>
      <c r="C60" s="25" t="s">
        <v>14</v>
      </c>
      <c r="D60" s="26" t="s">
        <v>355</v>
      </c>
      <c r="E60" s="27" t="s">
        <v>356</v>
      </c>
    </row>
    <row r="61" customFormat="false" ht="17.75" hidden="false" customHeight="false" outlineLevel="0" collapsed="false">
      <c r="B61" s="25" t="s">
        <v>357</v>
      </c>
      <c r="C61" s="25" t="s">
        <v>14</v>
      </c>
      <c r="D61" s="26" t="s">
        <v>358</v>
      </c>
      <c r="E61" s="28" t="s">
        <v>359</v>
      </c>
    </row>
    <row r="62" customFormat="false" ht="17.75" hidden="false" customHeight="false" outlineLevel="0" collapsed="false">
      <c r="B62" s="25" t="s">
        <v>360</v>
      </c>
      <c r="C62" s="25" t="s">
        <v>84</v>
      </c>
      <c r="D62" s="26" t="s">
        <v>361</v>
      </c>
      <c r="E62" s="27" t="n">
        <v>74900</v>
      </c>
    </row>
    <row r="63" customFormat="false" ht="17.75" hidden="false" customHeight="false" outlineLevel="0" collapsed="false">
      <c r="B63" s="25" t="s">
        <v>362</v>
      </c>
      <c r="C63" s="25" t="s">
        <v>14</v>
      </c>
      <c r="D63" s="26" t="s">
        <v>363</v>
      </c>
      <c r="E63" s="28" t="s">
        <v>364</v>
      </c>
    </row>
    <row r="64" customFormat="false" ht="30.25" hidden="false" customHeight="false" outlineLevel="0" collapsed="false">
      <c r="B64" s="25" t="s">
        <v>365</v>
      </c>
      <c r="C64" s="25" t="s">
        <v>20</v>
      </c>
      <c r="D64" s="26" t="s">
        <v>366</v>
      </c>
      <c r="E64" s="46" t="n">
        <v>47413</v>
      </c>
    </row>
    <row r="65" customFormat="false" ht="30.25" hidden="false" customHeight="false" outlineLevel="0" collapsed="false">
      <c r="B65" s="25" t="s">
        <v>367</v>
      </c>
      <c r="C65" s="25" t="s">
        <v>14</v>
      </c>
      <c r="D65" s="26" t="s">
        <v>368</v>
      </c>
      <c r="E65" s="28" t="s">
        <v>369</v>
      </c>
    </row>
    <row r="66" customFormat="false" ht="17.75" hidden="false" customHeight="false" outlineLevel="0" collapsed="false">
      <c r="B66" s="25" t="s">
        <v>370</v>
      </c>
      <c r="C66" s="25" t="s">
        <v>60</v>
      </c>
      <c r="D66" s="26" t="s">
        <v>371</v>
      </c>
      <c r="E66" s="27" t="n">
        <v>2.97</v>
      </c>
    </row>
  </sheetData>
  <mergeCells count="5">
    <mergeCell ref="B2:E4"/>
    <mergeCell ref="B6:E6"/>
    <mergeCell ref="B8:E8"/>
    <mergeCell ref="B10:E10"/>
    <mergeCell ref="B24:E24"/>
  </mergeCells>
  <hyperlinks>
    <hyperlink ref="E28" location="'Values List'!B1356" display="WARRANTY DEED"/>
    <hyperlink ref="E35" location="'Values List'!B1443" display="ESTIMATED"/>
    <hyperlink ref="E38" location="'Values List'!B1472" display="NO"/>
    <hyperlink ref="E61" location="'Values List'!B1477" display="BANK"/>
    <hyperlink ref="E63" location="'Values List'!B1494" display="CLOSED MORTGAGE"/>
    <hyperlink ref="E65" location="'Values List'!B1526" display="FIXED RATE"/>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E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2" activeCellId="0" sqref="B2"/>
    </sheetView>
  </sheetViews>
  <sheetFormatPr defaultColWidth="14.4453125" defaultRowHeight="16.35" zeroHeight="false" outlineLevelRow="0" outlineLevelCol="0"/>
  <cols>
    <col collapsed="false" customWidth="false" hidden="false" outlineLevel="0" max="1" min="1" style="1" width="14.43"/>
    <col collapsed="false" customWidth="true" hidden="false" outlineLevel="0" max="4" min="2" style="1" width="28.71"/>
    <col collapsed="false" customWidth="true" hidden="false" outlineLevel="0" max="5" min="5" style="1" width="44.14"/>
    <col collapsed="false" customWidth="false" hidden="false" outlineLevel="0" max="1024" min="6" style="1" width="14.43"/>
  </cols>
  <sheetData>
    <row r="1" customFormat="false" ht="17.5" hidden="false" customHeight="false" outlineLevel="0" collapsed="false">
      <c r="D1" s="2"/>
      <c r="E1" s="3"/>
    </row>
    <row r="2" customFormat="false" ht="16.35" hidden="false" customHeight="false" outlineLevel="0" collapsed="false">
      <c r="B2" s="4"/>
      <c r="C2" s="4"/>
      <c r="D2" s="4"/>
      <c r="E2" s="4"/>
    </row>
    <row r="3" customFormat="false" ht="16.35" hidden="false" customHeight="false" outlineLevel="0" collapsed="false">
      <c r="B3" s="4"/>
      <c r="C3" s="4"/>
      <c r="D3" s="4"/>
      <c r="E3" s="4"/>
    </row>
    <row r="4" customFormat="false" ht="16.35" hidden="false" customHeight="false" outlineLevel="0" collapsed="false">
      <c r="B4" s="4"/>
      <c r="C4" s="4"/>
      <c r="D4" s="4"/>
      <c r="E4" s="4"/>
    </row>
    <row r="5" customFormat="false" ht="17.5" hidden="false" customHeight="false" outlineLevel="0" collapsed="false">
      <c r="D5" s="2"/>
      <c r="E5" s="3"/>
    </row>
    <row r="6" customFormat="false" ht="17.5" hidden="false" customHeight="false" outlineLevel="0" collapsed="false">
      <c r="B6" s="5" t="s">
        <v>372</v>
      </c>
      <c r="C6" s="5"/>
      <c r="D6" s="5"/>
      <c r="E6" s="5"/>
    </row>
    <row r="7" customFormat="false" ht="17.5" hidden="false" customHeight="false" outlineLevel="0" collapsed="false">
      <c r="B7" s="6"/>
      <c r="C7" s="6"/>
      <c r="D7" s="6"/>
      <c r="E7" s="6"/>
    </row>
    <row r="8" customFormat="false" ht="17.75" hidden="false" customHeight="true" outlineLevel="0" collapsed="false">
      <c r="B8" s="45" t="s">
        <v>70</v>
      </c>
      <c r="C8" s="45"/>
      <c r="D8" s="45"/>
      <c r="E8" s="45"/>
    </row>
    <row r="9" customFormat="false" ht="17.5" hidden="false" customHeight="false" outlineLevel="0" collapsed="false">
      <c r="B9" s="47"/>
      <c r="C9" s="47"/>
      <c r="D9" s="47"/>
      <c r="E9" s="47"/>
    </row>
    <row r="10" customFormat="false" ht="17.75" hidden="false" customHeight="false" outlineLevel="0" collapsed="false">
      <c r="B10" s="24" t="s">
        <v>373</v>
      </c>
      <c r="C10" s="24"/>
      <c r="D10" s="24"/>
      <c r="E10" s="24"/>
    </row>
    <row r="11" customFormat="false" ht="17.75" hidden="false" customHeight="false" outlineLevel="0" collapsed="false">
      <c r="B11" s="15" t="s">
        <v>9</v>
      </c>
      <c r="C11" s="15" t="s">
        <v>10</v>
      </c>
      <c r="D11" s="16" t="s">
        <v>11</v>
      </c>
      <c r="E11" s="17" t="s">
        <v>12</v>
      </c>
    </row>
    <row r="12" customFormat="false" ht="30.25" hidden="false" customHeight="false" outlineLevel="0" collapsed="false">
      <c r="B12" s="18" t="s">
        <v>13</v>
      </c>
      <c r="C12" s="18" t="s">
        <v>14</v>
      </c>
      <c r="D12" s="19" t="s">
        <v>15</v>
      </c>
      <c r="E12" s="20" t="n">
        <v>12086</v>
      </c>
    </row>
    <row r="13" customFormat="false" ht="30.25" hidden="false" customHeight="false" outlineLevel="0" collapsed="false">
      <c r="B13" s="18" t="s">
        <v>16</v>
      </c>
      <c r="C13" s="18" t="s">
        <v>14</v>
      </c>
      <c r="D13" s="19" t="s">
        <v>17</v>
      </c>
      <c r="E13" s="20" t="s">
        <v>18</v>
      </c>
    </row>
    <row r="14" customFormat="false" ht="17.75" hidden="false" customHeight="false" outlineLevel="0" collapsed="false">
      <c r="B14" s="25" t="s">
        <v>374</v>
      </c>
      <c r="C14" s="25" t="s">
        <v>84</v>
      </c>
      <c r="D14" s="26" t="s">
        <v>375</v>
      </c>
      <c r="E14" s="27" t="n">
        <v>16430</v>
      </c>
    </row>
    <row r="15" customFormat="false" ht="17.75" hidden="false" customHeight="false" outlineLevel="0" collapsed="false">
      <c r="B15" s="25" t="s">
        <v>376</v>
      </c>
      <c r="C15" s="25" t="s">
        <v>84</v>
      </c>
      <c r="D15" s="26" t="s">
        <v>377</v>
      </c>
      <c r="E15" s="27" t="n">
        <v>17220</v>
      </c>
    </row>
    <row r="16" customFormat="false" ht="17.75" hidden="false" customHeight="false" outlineLevel="0" collapsed="false">
      <c r="B16" s="25" t="s">
        <v>378</v>
      </c>
      <c r="C16" s="25" t="s">
        <v>84</v>
      </c>
      <c r="D16" s="26" t="s">
        <v>379</v>
      </c>
      <c r="E16" s="27" t="n">
        <v>15780</v>
      </c>
    </row>
    <row r="17" customFormat="false" ht="17.75" hidden="false" customHeight="false" outlineLevel="0" collapsed="false">
      <c r="B17" s="25" t="s">
        <v>380</v>
      </c>
      <c r="C17" s="25" t="s">
        <v>381</v>
      </c>
      <c r="D17" s="26" t="s">
        <v>382</v>
      </c>
      <c r="E17" s="27" t="n">
        <v>55</v>
      </c>
    </row>
    <row r="18" customFormat="false" ht="30.25" hidden="false" customHeight="false" outlineLevel="0" collapsed="false">
      <c r="B18" s="25" t="s">
        <v>383</v>
      </c>
      <c r="C18" s="25" t="s">
        <v>20</v>
      </c>
      <c r="D18" s="26" t="s">
        <v>384</v>
      </c>
      <c r="E18" s="46" t="n">
        <v>43762</v>
      </c>
    </row>
  </sheetData>
  <mergeCells count="4">
    <mergeCell ref="B2:E4"/>
    <mergeCell ref="B6:E6"/>
    <mergeCell ref="B8:E8"/>
    <mergeCell ref="B10:E10"/>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E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6" activeCellId="0" sqref="E16"/>
    </sheetView>
  </sheetViews>
  <sheetFormatPr defaultColWidth="14.4453125" defaultRowHeight="16.35" zeroHeight="false" outlineLevelRow="0" outlineLevelCol="0"/>
  <cols>
    <col collapsed="false" customWidth="false" hidden="false" outlineLevel="0" max="1" min="1" style="1" width="14.43"/>
    <col collapsed="false" customWidth="true" hidden="false" outlineLevel="0" max="4" min="2" style="1" width="28.71"/>
    <col collapsed="false" customWidth="true" hidden="false" outlineLevel="0" max="5" min="5" style="1" width="44.14"/>
    <col collapsed="false" customWidth="false" hidden="false" outlineLevel="0" max="1024" min="6" style="1" width="14.43"/>
  </cols>
  <sheetData>
    <row r="1" customFormat="false" ht="17.5" hidden="false" customHeight="false" outlineLevel="0" collapsed="false">
      <c r="D1" s="2"/>
      <c r="E1" s="3"/>
    </row>
    <row r="2" customFormat="false" ht="16.35" hidden="false" customHeight="false" outlineLevel="0" collapsed="false">
      <c r="B2" s="4"/>
      <c r="C2" s="4"/>
      <c r="D2" s="4"/>
      <c r="E2" s="4"/>
    </row>
    <row r="3" customFormat="false" ht="16.35" hidden="false" customHeight="false" outlineLevel="0" collapsed="false">
      <c r="B3" s="4"/>
      <c r="C3" s="4"/>
      <c r="D3" s="4"/>
      <c r="E3" s="4"/>
    </row>
    <row r="4" customFormat="false" ht="16.35" hidden="false" customHeight="false" outlineLevel="0" collapsed="false">
      <c r="B4" s="4"/>
      <c r="C4" s="4"/>
      <c r="D4" s="4"/>
      <c r="E4" s="4"/>
    </row>
    <row r="5" customFormat="false" ht="17.5" hidden="false" customHeight="false" outlineLevel="0" collapsed="false">
      <c r="D5" s="2"/>
      <c r="E5" s="3"/>
    </row>
    <row r="6" customFormat="false" ht="17.5" hidden="false" customHeight="false" outlineLevel="0" collapsed="false">
      <c r="B6" s="5" t="s">
        <v>385</v>
      </c>
      <c r="C6" s="5"/>
      <c r="D6" s="5"/>
      <c r="E6" s="5"/>
    </row>
    <row r="7" customFormat="false" ht="17.5" hidden="false" customHeight="false" outlineLevel="0" collapsed="false">
      <c r="B7" s="6"/>
      <c r="C7" s="6"/>
      <c r="D7" s="6"/>
      <c r="E7" s="6"/>
    </row>
    <row r="8" customFormat="false" ht="17.75" hidden="false" customHeight="true" outlineLevel="0" collapsed="false">
      <c r="B8" s="45" t="s">
        <v>70</v>
      </c>
      <c r="C8" s="45"/>
      <c r="D8" s="45"/>
      <c r="E8" s="45"/>
    </row>
    <row r="9" customFormat="false" ht="17.5" hidden="false" customHeight="false" outlineLevel="0" collapsed="false">
      <c r="D9" s="2"/>
      <c r="E9" s="3"/>
    </row>
    <row r="10" customFormat="false" ht="17.75" hidden="false" customHeight="false" outlineLevel="0" collapsed="false">
      <c r="B10" s="24" t="s">
        <v>386</v>
      </c>
      <c r="C10" s="24"/>
      <c r="D10" s="24"/>
      <c r="E10" s="24"/>
    </row>
    <row r="11" customFormat="false" ht="17.75" hidden="false" customHeight="false" outlineLevel="0" collapsed="false">
      <c r="B11" s="15" t="s">
        <v>9</v>
      </c>
      <c r="C11" s="15" t="s">
        <v>10</v>
      </c>
      <c r="D11" s="16" t="s">
        <v>11</v>
      </c>
      <c r="E11" s="17" t="s">
        <v>12</v>
      </c>
    </row>
    <row r="12" customFormat="false" ht="30.25" hidden="false" customHeight="false" outlineLevel="0" collapsed="false">
      <c r="B12" s="18" t="s">
        <v>13</v>
      </c>
      <c r="C12" s="18" t="s">
        <v>14</v>
      </c>
      <c r="D12" s="19" t="s">
        <v>15</v>
      </c>
      <c r="E12" s="20" t="n">
        <v>12086</v>
      </c>
    </row>
    <row r="13" customFormat="false" ht="30.25" hidden="false" customHeight="false" outlineLevel="0" collapsed="false">
      <c r="B13" s="18" t="s">
        <v>16</v>
      </c>
      <c r="C13" s="18" t="s">
        <v>14</v>
      </c>
      <c r="D13" s="19" t="s">
        <v>17</v>
      </c>
      <c r="E13" s="20" t="s">
        <v>18</v>
      </c>
    </row>
    <row r="14" customFormat="false" ht="80.25" hidden="false" customHeight="false" outlineLevel="0" collapsed="false">
      <c r="B14" s="25" t="s">
        <v>387</v>
      </c>
      <c r="C14" s="25" t="s">
        <v>14</v>
      </c>
      <c r="D14" s="26" t="s">
        <v>388</v>
      </c>
      <c r="E14" s="27" t="s">
        <v>389</v>
      </c>
    </row>
  </sheetData>
  <mergeCells count="4">
    <mergeCell ref="B2:E4"/>
    <mergeCell ref="B6:E6"/>
    <mergeCell ref="B8:E8"/>
    <mergeCell ref="B10:E10"/>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534"/>
  <sheetViews>
    <sheetView showFormulas="false" showGridLines="true" showRowColHeaders="true" showZeros="true" rightToLeft="false" tabSelected="true" showOutlineSymbols="true" defaultGridColor="true" view="normal" topLeftCell="A1468" colorId="64" zoomScale="100" zoomScaleNormal="100" zoomScalePageLayoutView="100" workbookViewId="0">
      <selection pane="topLeft" activeCell="C1488" activeCellId="0" sqref="C1488"/>
    </sheetView>
  </sheetViews>
  <sheetFormatPr defaultColWidth="14.4609375" defaultRowHeight="15.75" zeroHeight="false" outlineLevelRow="0" outlineLevelCol="0"/>
  <cols>
    <col collapsed="false" customWidth="true" hidden="false" outlineLevel="0" max="1" min="1" style="0" width="18.58"/>
    <col collapsed="false" customWidth="true" hidden="false" outlineLevel="0" max="2" min="2" style="0" width="29.14"/>
    <col collapsed="false" customWidth="true" hidden="false" outlineLevel="0" max="3" min="3" style="0" width="100"/>
  </cols>
  <sheetData>
    <row r="1" customFormat="false" ht="15.75" hidden="false" customHeight="false" outlineLevel="0" collapsed="false">
      <c r="A1" s="24" t="s">
        <v>390</v>
      </c>
      <c r="B1" s="24" t="s">
        <v>9</v>
      </c>
      <c r="C1" s="24" t="s">
        <v>391</v>
      </c>
    </row>
    <row r="2" customFormat="false" ht="15.75" hidden="false" customHeight="false" outlineLevel="0" collapsed="false">
      <c r="A2" s="48" t="s">
        <v>392</v>
      </c>
      <c r="B2" s="48" t="s">
        <v>393</v>
      </c>
      <c r="C2" s="48" t="s">
        <v>27</v>
      </c>
    </row>
    <row r="3" customFormat="false" ht="15.75" hidden="false" customHeight="false" outlineLevel="0" collapsed="false">
      <c r="A3" s="48" t="s">
        <v>392</v>
      </c>
      <c r="B3" s="48" t="s">
        <v>393</v>
      </c>
      <c r="C3" s="48" t="s">
        <v>394</v>
      </c>
    </row>
    <row r="4" customFormat="false" ht="15.75" hidden="false" customHeight="false" outlineLevel="0" collapsed="false">
      <c r="A4" s="48" t="s">
        <v>392</v>
      </c>
      <c r="B4" s="48" t="s">
        <v>393</v>
      </c>
      <c r="C4" s="48" t="s">
        <v>395</v>
      </c>
    </row>
    <row r="5" customFormat="false" ht="15.75" hidden="false" customHeight="false" outlineLevel="0" collapsed="false">
      <c r="A5" s="48" t="s">
        <v>392</v>
      </c>
      <c r="B5" s="48" t="s">
        <v>393</v>
      </c>
      <c r="C5" s="48" t="s">
        <v>396</v>
      </c>
    </row>
    <row r="6" customFormat="false" ht="15.75" hidden="false" customHeight="false" outlineLevel="0" collapsed="false">
      <c r="A6" s="48" t="s">
        <v>392</v>
      </c>
      <c r="B6" s="48" t="s">
        <v>393</v>
      </c>
      <c r="C6" s="48" t="s">
        <v>397</v>
      </c>
    </row>
    <row r="7" customFormat="false" ht="15.75" hidden="false" customHeight="false" outlineLevel="0" collapsed="false">
      <c r="A7" s="48" t="s">
        <v>392</v>
      </c>
      <c r="B7" s="48" t="s">
        <v>393</v>
      </c>
      <c r="C7" s="48" t="s">
        <v>398</v>
      </c>
    </row>
    <row r="8" customFormat="false" ht="15.75" hidden="false" customHeight="false" outlineLevel="0" collapsed="false">
      <c r="A8" s="48" t="s">
        <v>392</v>
      </c>
      <c r="B8" s="48" t="s">
        <v>393</v>
      </c>
      <c r="C8" s="48" t="s">
        <v>36</v>
      </c>
    </row>
    <row r="9" customFormat="false" ht="15.75" hidden="false" customHeight="false" outlineLevel="0" collapsed="false">
      <c r="A9" s="48" t="s">
        <v>392</v>
      </c>
      <c r="B9" s="48" t="s">
        <v>393</v>
      </c>
      <c r="C9" s="48" t="s">
        <v>399</v>
      </c>
    </row>
    <row r="10" customFormat="false" ht="15.75" hidden="false" customHeight="false" outlineLevel="0" collapsed="false">
      <c r="A10" s="48" t="s">
        <v>392</v>
      </c>
      <c r="B10" s="48" t="s">
        <v>31</v>
      </c>
      <c r="C10" s="48" t="s">
        <v>400</v>
      </c>
    </row>
    <row r="11" customFormat="false" ht="15.75" hidden="false" customHeight="false" outlineLevel="0" collapsed="false">
      <c r="A11" s="48" t="s">
        <v>392</v>
      </c>
      <c r="B11" s="48" t="s">
        <v>31</v>
      </c>
      <c r="C11" s="48" t="s">
        <v>401</v>
      </c>
    </row>
    <row r="12" customFormat="false" ht="15.75" hidden="false" customHeight="false" outlineLevel="0" collapsed="false">
      <c r="A12" s="48" t="s">
        <v>392</v>
      </c>
      <c r="B12" s="48" t="s">
        <v>31</v>
      </c>
      <c r="C12" s="48" t="s">
        <v>402</v>
      </c>
    </row>
    <row r="13" customFormat="false" ht="15.75" hidden="false" customHeight="false" outlineLevel="0" collapsed="false">
      <c r="A13" s="48" t="s">
        <v>392</v>
      </c>
      <c r="B13" s="48" t="s">
        <v>31</v>
      </c>
      <c r="C13" s="48" t="s">
        <v>403</v>
      </c>
    </row>
    <row r="14" customFormat="false" ht="15.75" hidden="false" customHeight="false" outlineLevel="0" collapsed="false">
      <c r="A14" s="48" t="s">
        <v>392</v>
      </c>
      <c r="B14" s="48" t="s">
        <v>31</v>
      </c>
      <c r="C14" s="48" t="s">
        <v>404</v>
      </c>
    </row>
    <row r="15" customFormat="false" ht="15.75" hidden="false" customHeight="false" outlineLevel="0" collapsed="false">
      <c r="A15" s="48" t="s">
        <v>392</v>
      </c>
      <c r="B15" s="48" t="s">
        <v>31</v>
      </c>
      <c r="C15" s="48" t="s">
        <v>405</v>
      </c>
    </row>
    <row r="16" customFormat="false" ht="15.75" hidden="false" customHeight="false" outlineLevel="0" collapsed="false">
      <c r="A16" s="48" t="s">
        <v>392</v>
      </c>
      <c r="B16" s="48" t="s">
        <v>31</v>
      </c>
      <c r="C16" s="48" t="s">
        <v>406</v>
      </c>
    </row>
    <row r="17" customFormat="false" ht="15.75" hidden="false" customHeight="false" outlineLevel="0" collapsed="false">
      <c r="A17" s="48" t="s">
        <v>392</v>
      </c>
      <c r="B17" s="48" t="s">
        <v>31</v>
      </c>
      <c r="C17" s="48" t="s">
        <v>407</v>
      </c>
    </row>
    <row r="18" customFormat="false" ht="15.75" hidden="false" customHeight="false" outlineLevel="0" collapsed="false">
      <c r="A18" s="48" t="s">
        <v>392</v>
      </c>
      <c r="B18" s="48" t="s">
        <v>31</v>
      </c>
      <c r="C18" s="48" t="s">
        <v>408</v>
      </c>
    </row>
    <row r="19" customFormat="false" ht="15.75" hidden="false" customHeight="false" outlineLevel="0" collapsed="false">
      <c r="A19" s="48" t="s">
        <v>392</v>
      </c>
      <c r="B19" s="48" t="s">
        <v>31</v>
      </c>
      <c r="C19" s="48" t="s">
        <v>409</v>
      </c>
    </row>
    <row r="20" customFormat="false" ht="15.75" hidden="false" customHeight="false" outlineLevel="0" collapsed="false">
      <c r="A20" s="48" t="s">
        <v>392</v>
      </c>
      <c r="B20" s="48" t="s">
        <v>31</v>
      </c>
      <c r="C20" s="48" t="s">
        <v>410</v>
      </c>
    </row>
    <row r="21" customFormat="false" ht="15.75" hidden="false" customHeight="false" outlineLevel="0" collapsed="false">
      <c r="A21" s="48" t="s">
        <v>392</v>
      </c>
      <c r="B21" s="48" t="s">
        <v>31</v>
      </c>
      <c r="C21" s="48" t="s">
        <v>411</v>
      </c>
    </row>
    <row r="22" customFormat="false" ht="15.75" hidden="false" customHeight="false" outlineLevel="0" collapsed="false">
      <c r="A22" s="48" t="s">
        <v>392</v>
      </c>
      <c r="B22" s="48" t="s">
        <v>31</v>
      </c>
      <c r="C22" s="48" t="s">
        <v>412</v>
      </c>
    </row>
    <row r="23" customFormat="false" ht="15.75" hidden="false" customHeight="false" outlineLevel="0" collapsed="false">
      <c r="A23" s="48" t="s">
        <v>392</v>
      </c>
      <c r="B23" s="48" t="s">
        <v>31</v>
      </c>
      <c r="C23" s="48" t="s">
        <v>413</v>
      </c>
    </row>
    <row r="24" customFormat="false" ht="15.75" hidden="false" customHeight="false" outlineLevel="0" collapsed="false">
      <c r="A24" s="48" t="s">
        <v>392</v>
      </c>
      <c r="B24" s="48" t="s">
        <v>31</v>
      </c>
      <c r="C24" s="48" t="s">
        <v>414</v>
      </c>
    </row>
    <row r="25" customFormat="false" ht="15.75" hidden="false" customHeight="false" outlineLevel="0" collapsed="false">
      <c r="A25" s="48" t="s">
        <v>392</v>
      </c>
      <c r="B25" s="48" t="s">
        <v>31</v>
      </c>
      <c r="C25" s="48" t="s">
        <v>415</v>
      </c>
    </row>
    <row r="26" customFormat="false" ht="15.75" hidden="false" customHeight="false" outlineLevel="0" collapsed="false">
      <c r="A26" s="48" t="s">
        <v>392</v>
      </c>
      <c r="B26" s="48" t="s">
        <v>31</v>
      </c>
      <c r="C26" s="48" t="s">
        <v>416</v>
      </c>
    </row>
    <row r="27" customFormat="false" ht="15.75" hidden="false" customHeight="false" outlineLevel="0" collapsed="false">
      <c r="A27" s="48" t="s">
        <v>392</v>
      </c>
      <c r="B27" s="48" t="s">
        <v>31</v>
      </c>
      <c r="C27" s="48" t="s">
        <v>417</v>
      </c>
    </row>
    <row r="28" customFormat="false" ht="15.75" hidden="false" customHeight="false" outlineLevel="0" collapsed="false">
      <c r="A28" s="48" t="s">
        <v>392</v>
      </c>
      <c r="B28" s="48" t="s">
        <v>31</v>
      </c>
      <c r="C28" s="48" t="s">
        <v>418</v>
      </c>
    </row>
    <row r="29" customFormat="false" ht="15.75" hidden="false" customHeight="false" outlineLevel="0" collapsed="false">
      <c r="A29" s="48" t="s">
        <v>392</v>
      </c>
      <c r="B29" s="48" t="s">
        <v>31</v>
      </c>
      <c r="C29" s="48" t="s">
        <v>419</v>
      </c>
    </row>
    <row r="30" customFormat="false" ht="15.75" hidden="false" customHeight="false" outlineLevel="0" collapsed="false">
      <c r="A30" s="48" t="s">
        <v>392</v>
      </c>
      <c r="B30" s="48" t="s">
        <v>31</v>
      </c>
      <c r="C30" s="48" t="s">
        <v>420</v>
      </c>
    </row>
    <row r="31" customFormat="false" ht="15.75" hidden="false" customHeight="false" outlineLevel="0" collapsed="false">
      <c r="A31" s="48" t="s">
        <v>392</v>
      </c>
      <c r="B31" s="48" t="s">
        <v>31</v>
      </c>
      <c r="C31" s="48" t="s">
        <v>421</v>
      </c>
    </row>
    <row r="32" customFormat="false" ht="15.75" hidden="false" customHeight="false" outlineLevel="0" collapsed="false">
      <c r="A32" s="48" t="s">
        <v>392</v>
      </c>
      <c r="B32" s="48" t="s">
        <v>31</v>
      </c>
      <c r="C32" s="48" t="s">
        <v>422</v>
      </c>
    </row>
    <row r="33" customFormat="false" ht="15.75" hidden="false" customHeight="false" outlineLevel="0" collapsed="false">
      <c r="A33" s="48" t="s">
        <v>392</v>
      </c>
      <c r="B33" s="48" t="s">
        <v>31</v>
      </c>
      <c r="C33" s="48" t="s">
        <v>423</v>
      </c>
    </row>
    <row r="34" customFormat="false" ht="15.75" hidden="false" customHeight="false" outlineLevel="0" collapsed="false">
      <c r="A34" s="48" t="s">
        <v>392</v>
      </c>
      <c r="B34" s="48" t="s">
        <v>31</v>
      </c>
      <c r="C34" s="48" t="s">
        <v>424</v>
      </c>
    </row>
    <row r="35" customFormat="false" ht="15.75" hidden="false" customHeight="false" outlineLevel="0" collapsed="false">
      <c r="A35" s="48" t="s">
        <v>392</v>
      </c>
      <c r="B35" s="48" t="s">
        <v>31</v>
      </c>
      <c r="C35" s="48" t="s">
        <v>425</v>
      </c>
    </row>
    <row r="36" customFormat="false" ht="15.75" hidden="false" customHeight="false" outlineLevel="0" collapsed="false">
      <c r="A36" s="48" t="s">
        <v>392</v>
      </c>
      <c r="B36" s="48" t="s">
        <v>31</v>
      </c>
      <c r="C36" s="48" t="s">
        <v>426</v>
      </c>
    </row>
    <row r="37" customFormat="false" ht="15.75" hidden="false" customHeight="false" outlineLevel="0" collapsed="false">
      <c r="A37" s="48" t="s">
        <v>392</v>
      </c>
      <c r="B37" s="48" t="s">
        <v>31</v>
      </c>
      <c r="C37" s="48" t="s">
        <v>427</v>
      </c>
    </row>
    <row r="38" customFormat="false" ht="15.75" hidden="false" customHeight="false" outlineLevel="0" collapsed="false">
      <c r="A38" s="48" t="s">
        <v>392</v>
      </c>
      <c r="B38" s="48" t="s">
        <v>31</v>
      </c>
      <c r="C38" s="48" t="s">
        <v>428</v>
      </c>
    </row>
    <row r="39" customFormat="false" ht="15.75" hidden="false" customHeight="false" outlineLevel="0" collapsed="false">
      <c r="A39" s="48" t="s">
        <v>392</v>
      </c>
      <c r="B39" s="48" t="s">
        <v>31</v>
      </c>
      <c r="C39" s="48" t="s">
        <v>429</v>
      </c>
    </row>
    <row r="40" customFormat="false" ht="15.75" hidden="false" customHeight="false" outlineLevel="0" collapsed="false">
      <c r="A40" s="48" t="s">
        <v>392</v>
      </c>
      <c r="B40" s="48" t="s">
        <v>31</v>
      </c>
      <c r="C40" s="48" t="s">
        <v>430</v>
      </c>
    </row>
    <row r="41" customFormat="false" ht="15.75" hidden="false" customHeight="false" outlineLevel="0" collapsed="false">
      <c r="A41" s="48" t="s">
        <v>392</v>
      </c>
      <c r="B41" s="48" t="s">
        <v>31</v>
      </c>
      <c r="C41" s="48" t="s">
        <v>431</v>
      </c>
    </row>
    <row r="42" customFormat="false" ht="15.75" hidden="false" customHeight="false" outlineLevel="0" collapsed="false">
      <c r="A42" s="48" t="s">
        <v>392</v>
      </c>
      <c r="B42" s="48" t="s">
        <v>31</v>
      </c>
      <c r="C42" s="48" t="s">
        <v>432</v>
      </c>
    </row>
    <row r="43" customFormat="false" ht="15.75" hidden="false" customHeight="false" outlineLevel="0" collapsed="false">
      <c r="A43" s="48" t="s">
        <v>392</v>
      </c>
      <c r="B43" s="48" t="s">
        <v>31</v>
      </c>
      <c r="C43" s="48" t="s">
        <v>433</v>
      </c>
    </row>
    <row r="44" customFormat="false" ht="15.75" hidden="false" customHeight="false" outlineLevel="0" collapsed="false">
      <c r="A44" s="48" t="s">
        <v>392</v>
      </c>
      <c r="B44" s="48" t="s">
        <v>31</v>
      </c>
      <c r="C44" s="48" t="s">
        <v>434</v>
      </c>
    </row>
    <row r="45" customFormat="false" ht="15.75" hidden="false" customHeight="false" outlineLevel="0" collapsed="false">
      <c r="A45" s="48" t="s">
        <v>392</v>
      </c>
      <c r="B45" s="48" t="s">
        <v>31</v>
      </c>
      <c r="C45" s="48" t="s">
        <v>435</v>
      </c>
    </row>
    <row r="46" customFormat="false" ht="15.75" hidden="false" customHeight="false" outlineLevel="0" collapsed="false">
      <c r="A46" s="48" t="s">
        <v>392</v>
      </c>
      <c r="B46" s="48" t="s">
        <v>31</v>
      </c>
      <c r="C46" s="48" t="s">
        <v>436</v>
      </c>
    </row>
    <row r="47" customFormat="false" ht="15.75" hidden="false" customHeight="false" outlineLevel="0" collapsed="false">
      <c r="A47" s="48" t="s">
        <v>392</v>
      </c>
      <c r="B47" s="48" t="s">
        <v>31</v>
      </c>
      <c r="C47" s="48" t="s">
        <v>437</v>
      </c>
    </row>
    <row r="48" customFormat="false" ht="15.75" hidden="false" customHeight="false" outlineLevel="0" collapsed="false">
      <c r="A48" s="48" t="s">
        <v>392</v>
      </c>
      <c r="B48" s="48" t="s">
        <v>31</v>
      </c>
      <c r="C48" s="48" t="s">
        <v>438</v>
      </c>
    </row>
    <row r="49" customFormat="false" ht="15.75" hidden="false" customHeight="false" outlineLevel="0" collapsed="false">
      <c r="A49" s="48" t="s">
        <v>392</v>
      </c>
      <c r="B49" s="48" t="s">
        <v>31</v>
      </c>
      <c r="C49" s="48" t="s">
        <v>439</v>
      </c>
    </row>
    <row r="50" customFormat="false" ht="15.75" hidden="false" customHeight="false" outlineLevel="0" collapsed="false">
      <c r="A50" s="48" t="s">
        <v>392</v>
      </c>
      <c r="B50" s="48" t="s">
        <v>31</v>
      </c>
      <c r="C50" s="48" t="s">
        <v>440</v>
      </c>
    </row>
    <row r="51" customFormat="false" ht="15.75" hidden="false" customHeight="false" outlineLevel="0" collapsed="false">
      <c r="A51" s="48" t="s">
        <v>392</v>
      </c>
      <c r="B51" s="48" t="s">
        <v>31</v>
      </c>
      <c r="C51" s="48" t="s">
        <v>441</v>
      </c>
    </row>
    <row r="52" customFormat="false" ht="15.75" hidden="false" customHeight="false" outlineLevel="0" collapsed="false">
      <c r="A52" s="48" t="s">
        <v>392</v>
      </c>
      <c r="B52" s="48" t="s">
        <v>31</v>
      </c>
      <c r="C52" s="48" t="s">
        <v>442</v>
      </c>
    </row>
    <row r="53" customFormat="false" ht="15.75" hidden="false" customHeight="false" outlineLevel="0" collapsed="false">
      <c r="A53" s="48" t="s">
        <v>392</v>
      </c>
      <c r="B53" s="48" t="s">
        <v>31</v>
      </c>
      <c r="C53" s="48" t="s">
        <v>443</v>
      </c>
    </row>
    <row r="54" customFormat="false" ht="15.75" hidden="false" customHeight="false" outlineLevel="0" collapsed="false">
      <c r="A54" s="48" t="s">
        <v>392</v>
      </c>
      <c r="B54" s="48" t="s">
        <v>31</v>
      </c>
      <c r="C54" s="48" t="s">
        <v>444</v>
      </c>
    </row>
    <row r="55" customFormat="false" ht="15.75" hidden="false" customHeight="false" outlineLevel="0" collapsed="false">
      <c r="A55" s="48" t="s">
        <v>392</v>
      </c>
      <c r="B55" s="48" t="s">
        <v>31</v>
      </c>
      <c r="C55" s="48" t="s">
        <v>445</v>
      </c>
    </row>
    <row r="56" customFormat="false" ht="15.75" hidden="false" customHeight="false" outlineLevel="0" collapsed="false">
      <c r="A56" s="48" t="s">
        <v>392</v>
      </c>
      <c r="B56" s="48" t="s">
        <v>31</v>
      </c>
      <c r="C56" s="48" t="s">
        <v>446</v>
      </c>
    </row>
    <row r="57" customFormat="false" ht="15.75" hidden="false" customHeight="false" outlineLevel="0" collapsed="false">
      <c r="A57" s="48" t="s">
        <v>392</v>
      </c>
      <c r="B57" s="48" t="s">
        <v>31</v>
      </c>
      <c r="C57" s="48" t="s">
        <v>447</v>
      </c>
    </row>
    <row r="58" customFormat="false" ht="15.75" hidden="false" customHeight="false" outlineLevel="0" collapsed="false">
      <c r="A58" s="48" t="s">
        <v>392</v>
      </c>
      <c r="B58" s="48" t="s">
        <v>31</v>
      </c>
      <c r="C58" s="48" t="s">
        <v>448</v>
      </c>
    </row>
    <row r="59" customFormat="false" ht="15.75" hidden="false" customHeight="false" outlineLevel="0" collapsed="false">
      <c r="A59" s="48" t="s">
        <v>392</v>
      </c>
      <c r="B59" s="48" t="s">
        <v>31</v>
      </c>
      <c r="C59" s="48" t="s">
        <v>449</v>
      </c>
    </row>
    <row r="60" customFormat="false" ht="15.75" hidden="false" customHeight="false" outlineLevel="0" collapsed="false">
      <c r="A60" s="48" t="s">
        <v>392</v>
      </c>
      <c r="B60" s="48" t="s">
        <v>31</v>
      </c>
      <c r="C60" s="48" t="s">
        <v>450</v>
      </c>
    </row>
    <row r="61" customFormat="false" ht="15.75" hidden="false" customHeight="false" outlineLevel="0" collapsed="false">
      <c r="A61" s="48" t="s">
        <v>392</v>
      </c>
      <c r="B61" s="48" t="s">
        <v>31</v>
      </c>
      <c r="C61" s="48" t="s">
        <v>451</v>
      </c>
    </row>
    <row r="62" customFormat="false" ht="15.75" hidden="false" customHeight="false" outlineLevel="0" collapsed="false">
      <c r="A62" s="48" t="s">
        <v>392</v>
      </c>
      <c r="B62" s="48" t="s">
        <v>31</v>
      </c>
      <c r="C62" s="48" t="s">
        <v>452</v>
      </c>
    </row>
    <row r="63" customFormat="false" ht="15.75" hidden="false" customHeight="false" outlineLevel="0" collapsed="false">
      <c r="A63" s="48" t="s">
        <v>392</v>
      </c>
      <c r="B63" s="48" t="s">
        <v>31</v>
      </c>
      <c r="C63" s="48" t="s">
        <v>453</v>
      </c>
    </row>
    <row r="64" customFormat="false" ht="15.75" hidden="false" customHeight="false" outlineLevel="0" collapsed="false">
      <c r="A64" s="48" t="s">
        <v>392</v>
      </c>
      <c r="B64" s="48" t="s">
        <v>31</v>
      </c>
      <c r="C64" s="48" t="s">
        <v>454</v>
      </c>
    </row>
    <row r="65" customFormat="false" ht="15.75" hidden="false" customHeight="false" outlineLevel="0" collapsed="false">
      <c r="A65" s="48" t="s">
        <v>392</v>
      </c>
      <c r="B65" s="48" t="s">
        <v>31</v>
      </c>
      <c r="C65" s="48" t="s">
        <v>455</v>
      </c>
    </row>
    <row r="66" customFormat="false" ht="15.75" hidden="false" customHeight="false" outlineLevel="0" collapsed="false">
      <c r="A66" s="48" t="s">
        <v>392</v>
      </c>
      <c r="B66" s="48" t="s">
        <v>31</v>
      </c>
      <c r="C66" s="48" t="s">
        <v>456</v>
      </c>
    </row>
    <row r="67" customFormat="false" ht="15.75" hidden="false" customHeight="false" outlineLevel="0" collapsed="false">
      <c r="A67" s="48" t="s">
        <v>392</v>
      </c>
      <c r="B67" s="48" t="s">
        <v>31</v>
      </c>
      <c r="C67" s="48" t="s">
        <v>457</v>
      </c>
    </row>
    <row r="68" customFormat="false" ht="15.75" hidden="false" customHeight="false" outlineLevel="0" collapsed="false">
      <c r="A68" s="48" t="s">
        <v>392</v>
      </c>
      <c r="B68" s="48" t="s">
        <v>31</v>
      </c>
      <c r="C68" s="48" t="s">
        <v>458</v>
      </c>
    </row>
    <row r="69" customFormat="false" ht="15.75" hidden="false" customHeight="false" outlineLevel="0" collapsed="false">
      <c r="A69" s="48" t="s">
        <v>392</v>
      </c>
      <c r="B69" s="48" t="s">
        <v>31</v>
      </c>
      <c r="C69" s="48" t="s">
        <v>459</v>
      </c>
    </row>
    <row r="70" customFormat="false" ht="15.75" hidden="false" customHeight="false" outlineLevel="0" collapsed="false">
      <c r="A70" s="48" t="s">
        <v>392</v>
      </c>
      <c r="B70" s="48" t="s">
        <v>31</v>
      </c>
      <c r="C70" s="48" t="s">
        <v>460</v>
      </c>
    </row>
    <row r="71" customFormat="false" ht="15.75" hidden="false" customHeight="false" outlineLevel="0" collapsed="false">
      <c r="A71" s="48" t="s">
        <v>392</v>
      </c>
      <c r="B71" s="48" t="s">
        <v>31</v>
      </c>
      <c r="C71" s="48" t="s">
        <v>461</v>
      </c>
    </row>
    <row r="72" customFormat="false" ht="15.75" hidden="false" customHeight="false" outlineLevel="0" collapsed="false">
      <c r="A72" s="48" t="s">
        <v>392</v>
      </c>
      <c r="B72" s="48" t="s">
        <v>31</v>
      </c>
      <c r="C72" s="48" t="s">
        <v>462</v>
      </c>
    </row>
    <row r="73" customFormat="false" ht="15.75" hidden="false" customHeight="false" outlineLevel="0" collapsed="false">
      <c r="A73" s="48" t="s">
        <v>392</v>
      </c>
      <c r="B73" s="48" t="s">
        <v>31</v>
      </c>
      <c r="C73" s="48" t="s">
        <v>463</v>
      </c>
    </row>
    <row r="74" customFormat="false" ht="15.75" hidden="false" customHeight="false" outlineLevel="0" collapsed="false">
      <c r="A74" s="48" t="s">
        <v>392</v>
      </c>
      <c r="B74" s="48" t="s">
        <v>31</v>
      </c>
      <c r="C74" s="48" t="s">
        <v>464</v>
      </c>
    </row>
    <row r="75" customFormat="false" ht="15.75" hidden="false" customHeight="false" outlineLevel="0" collapsed="false">
      <c r="A75" s="48" t="s">
        <v>392</v>
      </c>
      <c r="B75" s="48" t="s">
        <v>31</v>
      </c>
      <c r="C75" s="48" t="s">
        <v>465</v>
      </c>
    </row>
    <row r="76" customFormat="false" ht="15.75" hidden="false" customHeight="false" outlineLevel="0" collapsed="false">
      <c r="A76" s="48" t="s">
        <v>392</v>
      </c>
      <c r="B76" s="48" t="s">
        <v>31</v>
      </c>
      <c r="C76" s="48" t="s">
        <v>466</v>
      </c>
    </row>
    <row r="77" customFormat="false" ht="15.75" hidden="false" customHeight="false" outlineLevel="0" collapsed="false">
      <c r="A77" s="48" t="s">
        <v>392</v>
      </c>
      <c r="B77" s="48" t="s">
        <v>31</v>
      </c>
      <c r="C77" s="48" t="s">
        <v>467</v>
      </c>
    </row>
    <row r="78" customFormat="false" ht="15.75" hidden="false" customHeight="false" outlineLevel="0" collapsed="false">
      <c r="A78" s="48" t="s">
        <v>392</v>
      </c>
      <c r="B78" s="48" t="s">
        <v>31</v>
      </c>
      <c r="C78" s="48" t="s">
        <v>468</v>
      </c>
    </row>
    <row r="79" customFormat="false" ht="15.75" hidden="false" customHeight="false" outlineLevel="0" collapsed="false">
      <c r="A79" s="48" t="s">
        <v>392</v>
      </c>
      <c r="B79" s="48" t="s">
        <v>31</v>
      </c>
      <c r="C79" s="48" t="s">
        <v>469</v>
      </c>
    </row>
    <row r="80" customFormat="false" ht="15.75" hidden="false" customHeight="false" outlineLevel="0" collapsed="false">
      <c r="A80" s="48" t="s">
        <v>392</v>
      </c>
      <c r="B80" s="48" t="s">
        <v>31</v>
      </c>
      <c r="C80" s="48" t="s">
        <v>470</v>
      </c>
    </row>
    <row r="81" customFormat="false" ht="15.75" hidden="false" customHeight="false" outlineLevel="0" collapsed="false">
      <c r="A81" s="48" t="s">
        <v>392</v>
      </c>
      <c r="B81" s="48" t="s">
        <v>31</v>
      </c>
      <c r="C81" s="48" t="s">
        <v>471</v>
      </c>
    </row>
    <row r="82" customFormat="false" ht="15.75" hidden="false" customHeight="false" outlineLevel="0" collapsed="false">
      <c r="A82" s="48" t="s">
        <v>392</v>
      </c>
      <c r="B82" s="48" t="s">
        <v>31</v>
      </c>
      <c r="C82" s="48" t="s">
        <v>472</v>
      </c>
    </row>
    <row r="83" customFormat="false" ht="15.75" hidden="false" customHeight="false" outlineLevel="0" collapsed="false">
      <c r="A83" s="48" t="s">
        <v>392</v>
      </c>
      <c r="B83" s="48" t="s">
        <v>31</v>
      </c>
      <c r="C83" s="48" t="s">
        <v>473</v>
      </c>
    </row>
    <row r="84" customFormat="false" ht="15.75" hidden="false" customHeight="false" outlineLevel="0" collapsed="false">
      <c r="A84" s="48" t="s">
        <v>392</v>
      </c>
      <c r="B84" s="48" t="s">
        <v>31</v>
      </c>
      <c r="C84" s="48" t="s">
        <v>474</v>
      </c>
    </row>
    <row r="85" customFormat="false" ht="15.75" hidden="false" customHeight="false" outlineLevel="0" collapsed="false">
      <c r="A85" s="48" t="s">
        <v>392</v>
      </c>
      <c r="B85" s="48" t="s">
        <v>31</v>
      </c>
      <c r="C85" s="48" t="s">
        <v>475</v>
      </c>
    </row>
    <row r="86" customFormat="false" ht="15.75" hidden="false" customHeight="false" outlineLevel="0" collapsed="false">
      <c r="A86" s="48" t="s">
        <v>392</v>
      </c>
      <c r="B86" s="48" t="s">
        <v>31</v>
      </c>
      <c r="C86" s="48" t="s">
        <v>476</v>
      </c>
    </row>
    <row r="87" customFormat="false" ht="15.75" hidden="false" customHeight="false" outlineLevel="0" collapsed="false">
      <c r="A87" s="48" t="s">
        <v>392</v>
      </c>
      <c r="B87" s="48" t="s">
        <v>31</v>
      </c>
      <c r="C87" s="48" t="s">
        <v>477</v>
      </c>
    </row>
    <row r="88" customFormat="false" ht="15.75" hidden="false" customHeight="false" outlineLevel="0" collapsed="false">
      <c r="A88" s="48" t="s">
        <v>392</v>
      </c>
      <c r="B88" s="48" t="s">
        <v>31</v>
      </c>
      <c r="C88" s="48" t="s">
        <v>478</v>
      </c>
    </row>
    <row r="89" customFormat="false" ht="15.75" hidden="false" customHeight="false" outlineLevel="0" collapsed="false">
      <c r="A89" s="48" t="s">
        <v>392</v>
      </c>
      <c r="B89" s="48" t="s">
        <v>31</v>
      </c>
      <c r="C89" s="48" t="s">
        <v>479</v>
      </c>
    </row>
    <row r="90" customFormat="false" ht="15.75" hidden="false" customHeight="false" outlineLevel="0" collapsed="false">
      <c r="A90" s="48" t="s">
        <v>392</v>
      </c>
      <c r="B90" s="48" t="s">
        <v>31</v>
      </c>
      <c r="C90" s="48" t="s">
        <v>480</v>
      </c>
    </row>
    <row r="91" customFormat="false" ht="15.75" hidden="false" customHeight="false" outlineLevel="0" collapsed="false">
      <c r="A91" s="48" t="s">
        <v>392</v>
      </c>
      <c r="B91" s="48" t="s">
        <v>31</v>
      </c>
      <c r="C91" s="48" t="s">
        <v>481</v>
      </c>
    </row>
    <row r="92" customFormat="false" ht="15.75" hidden="false" customHeight="false" outlineLevel="0" collapsed="false">
      <c r="A92" s="48" t="s">
        <v>392</v>
      </c>
      <c r="B92" s="48" t="s">
        <v>31</v>
      </c>
      <c r="C92" s="48" t="s">
        <v>482</v>
      </c>
    </row>
    <row r="93" customFormat="false" ht="15.75" hidden="false" customHeight="false" outlineLevel="0" collapsed="false">
      <c r="A93" s="48" t="s">
        <v>392</v>
      </c>
      <c r="B93" s="48" t="s">
        <v>31</v>
      </c>
      <c r="C93" s="48" t="s">
        <v>483</v>
      </c>
    </row>
    <row r="94" customFormat="false" ht="15.75" hidden="false" customHeight="false" outlineLevel="0" collapsed="false">
      <c r="A94" s="48" t="s">
        <v>392</v>
      </c>
      <c r="B94" s="48" t="s">
        <v>31</v>
      </c>
      <c r="C94" s="48" t="s">
        <v>484</v>
      </c>
    </row>
    <row r="95" customFormat="false" ht="15.75" hidden="false" customHeight="false" outlineLevel="0" collapsed="false">
      <c r="A95" s="48" t="s">
        <v>392</v>
      </c>
      <c r="B95" s="48" t="s">
        <v>31</v>
      </c>
      <c r="C95" s="48" t="s">
        <v>485</v>
      </c>
    </row>
    <row r="96" customFormat="false" ht="15.75" hidden="false" customHeight="false" outlineLevel="0" collapsed="false">
      <c r="A96" s="48" t="s">
        <v>392</v>
      </c>
      <c r="B96" s="48" t="s">
        <v>31</v>
      </c>
      <c r="C96" s="48" t="s">
        <v>486</v>
      </c>
    </row>
    <row r="97" customFormat="false" ht="15.75" hidden="false" customHeight="false" outlineLevel="0" collapsed="false">
      <c r="A97" s="48" t="s">
        <v>392</v>
      </c>
      <c r="B97" s="48" t="s">
        <v>31</v>
      </c>
      <c r="C97" s="48" t="s">
        <v>487</v>
      </c>
    </row>
    <row r="98" customFormat="false" ht="15.75" hidden="false" customHeight="false" outlineLevel="0" collapsed="false">
      <c r="A98" s="48" t="s">
        <v>392</v>
      </c>
      <c r="B98" s="48" t="s">
        <v>31</v>
      </c>
      <c r="C98" s="48" t="s">
        <v>488</v>
      </c>
    </row>
    <row r="99" customFormat="false" ht="15.75" hidden="false" customHeight="false" outlineLevel="0" collapsed="false">
      <c r="A99" s="48" t="s">
        <v>392</v>
      </c>
      <c r="B99" s="48" t="s">
        <v>31</v>
      </c>
      <c r="C99" s="48" t="s">
        <v>489</v>
      </c>
    </row>
    <row r="100" customFormat="false" ht="15.75" hidden="false" customHeight="false" outlineLevel="0" collapsed="false">
      <c r="A100" s="48" t="s">
        <v>392</v>
      </c>
      <c r="B100" s="48" t="s">
        <v>31</v>
      </c>
      <c r="C100" s="48" t="s">
        <v>490</v>
      </c>
    </row>
    <row r="101" customFormat="false" ht="15.75" hidden="false" customHeight="false" outlineLevel="0" collapsed="false">
      <c r="A101" s="48" t="s">
        <v>392</v>
      </c>
      <c r="B101" s="48" t="s">
        <v>31</v>
      </c>
      <c r="C101" s="48" t="s">
        <v>491</v>
      </c>
    </row>
    <row r="102" customFormat="false" ht="15.75" hidden="false" customHeight="false" outlineLevel="0" collapsed="false">
      <c r="A102" s="48" t="s">
        <v>392</v>
      </c>
      <c r="B102" s="48" t="s">
        <v>31</v>
      </c>
      <c r="C102" s="48" t="s">
        <v>492</v>
      </c>
    </row>
    <row r="103" customFormat="false" ht="15.75" hidden="false" customHeight="false" outlineLevel="0" collapsed="false">
      <c r="A103" s="48" t="s">
        <v>392</v>
      </c>
      <c r="B103" s="48" t="s">
        <v>31</v>
      </c>
      <c r="C103" s="48" t="s">
        <v>493</v>
      </c>
    </row>
    <row r="104" customFormat="false" ht="15.75" hidden="false" customHeight="false" outlineLevel="0" collapsed="false">
      <c r="A104" s="48" t="s">
        <v>392</v>
      </c>
      <c r="B104" s="48" t="s">
        <v>31</v>
      </c>
      <c r="C104" s="48" t="s">
        <v>494</v>
      </c>
    </row>
    <row r="105" customFormat="false" ht="15.75" hidden="false" customHeight="false" outlineLevel="0" collapsed="false">
      <c r="A105" s="48" t="s">
        <v>392</v>
      </c>
      <c r="B105" s="48" t="s">
        <v>31</v>
      </c>
      <c r="C105" s="48" t="s">
        <v>495</v>
      </c>
    </row>
    <row r="106" customFormat="false" ht="15.75" hidden="false" customHeight="false" outlineLevel="0" collapsed="false">
      <c r="A106" s="48" t="s">
        <v>392</v>
      </c>
      <c r="B106" s="48" t="s">
        <v>31</v>
      </c>
      <c r="C106" s="48" t="s">
        <v>496</v>
      </c>
    </row>
    <row r="107" customFormat="false" ht="15.75" hidden="false" customHeight="false" outlineLevel="0" collapsed="false">
      <c r="A107" s="48" t="s">
        <v>392</v>
      </c>
      <c r="B107" s="48" t="s">
        <v>31</v>
      </c>
      <c r="C107" s="48" t="s">
        <v>497</v>
      </c>
    </row>
    <row r="108" customFormat="false" ht="15.75" hidden="false" customHeight="false" outlineLevel="0" collapsed="false">
      <c r="A108" s="48" t="s">
        <v>392</v>
      </c>
      <c r="B108" s="48" t="s">
        <v>31</v>
      </c>
      <c r="C108" s="48" t="s">
        <v>498</v>
      </c>
    </row>
    <row r="109" customFormat="false" ht="15.75" hidden="false" customHeight="false" outlineLevel="0" collapsed="false">
      <c r="A109" s="48" t="s">
        <v>392</v>
      </c>
      <c r="B109" s="48" t="s">
        <v>31</v>
      </c>
      <c r="C109" s="48" t="s">
        <v>499</v>
      </c>
    </row>
    <row r="110" customFormat="false" ht="15.75" hidden="false" customHeight="false" outlineLevel="0" collapsed="false">
      <c r="A110" s="48" t="s">
        <v>392</v>
      </c>
      <c r="B110" s="48" t="s">
        <v>31</v>
      </c>
      <c r="C110" s="48" t="s">
        <v>500</v>
      </c>
    </row>
    <row r="111" customFormat="false" ht="15.75" hidden="false" customHeight="false" outlineLevel="0" collapsed="false">
      <c r="A111" s="48" t="s">
        <v>392</v>
      </c>
      <c r="B111" s="48" t="s">
        <v>31</v>
      </c>
      <c r="C111" s="48" t="s">
        <v>501</v>
      </c>
    </row>
    <row r="112" customFormat="false" ht="15.75" hidden="false" customHeight="false" outlineLevel="0" collapsed="false">
      <c r="A112" s="48" t="s">
        <v>392</v>
      </c>
      <c r="B112" s="48" t="s">
        <v>31</v>
      </c>
      <c r="C112" s="48" t="s">
        <v>502</v>
      </c>
    </row>
    <row r="113" customFormat="false" ht="15.75" hidden="false" customHeight="false" outlineLevel="0" collapsed="false">
      <c r="A113" s="48" t="s">
        <v>392</v>
      </c>
      <c r="B113" s="48" t="s">
        <v>31</v>
      </c>
      <c r="C113" s="48" t="s">
        <v>503</v>
      </c>
    </row>
    <row r="114" customFormat="false" ht="15.75" hidden="false" customHeight="false" outlineLevel="0" collapsed="false">
      <c r="A114" s="48" t="s">
        <v>392</v>
      </c>
      <c r="B114" s="48" t="s">
        <v>31</v>
      </c>
      <c r="C114" s="48" t="s">
        <v>504</v>
      </c>
    </row>
    <row r="115" customFormat="false" ht="15.75" hidden="false" customHeight="false" outlineLevel="0" collapsed="false">
      <c r="A115" s="48" t="s">
        <v>392</v>
      </c>
      <c r="B115" s="48" t="s">
        <v>31</v>
      </c>
      <c r="C115" s="48" t="s">
        <v>505</v>
      </c>
    </row>
    <row r="116" customFormat="false" ht="15.75" hidden="false" customHeight="false" outlineLevel="0" collapsed="false">
      <c r="A116" s="48" t="s">
        <v>392</v>
      </c>
      <c r="B116" s="48" t="s">
        <v>31</v>
      </c>
      <c r="C116" s="48" t="s">
        <v>506</v>
      </c>
    </row>
    <row r="117" customFormat="false" ht="15.75" hidden="false" customHeight="false" outlineLevel="0" collapsed="false">
      <c r="A117" s="48" t="s">
        <v>392</v>
      </c>
      <c r="B117" s="48" t="s">
        <v>31</v>
      </c>
      <c r="C117" s="48" t="s">
        <v>507</v>
      </c>
    </row>
    <row r="118" customFormat="false" ht="15.75" hidden="false" customHeight="false" outlineLevel="0" collapsed="false">
      <c r="A118" s="48" t="s">
        <v>392</v>
      </c>
      <c r="B118" s="48" t="s">
        <v>31</v>
      </c>
      <c r="C118" s="48" t="s">
        <v>508</v>
      </c>
    </row>
    <row r="119" customFormat="false" ht="15.75" hidden="false" customHeight="false" outlineLevel="0" collapsed="false">
      <c r="A119" s="48" t="s">
        <v>392</v>
      </c>
      <c r="B119" s="48" t="s">
        <v>31</v>
      </c>
      <c r="C119" s="48" t="s">
        <v>509</v>
      </c>
    </row>
    <row r="120" customFormat="false" ht="15.75" hidden="false" customHeight="false" outlineLevel="0" collapsed="false">
      <c r="A120" s="48" t="s">
        <v>392</v>
      </c>
      <c r="B120" s="48" t="s">
        <v>31</v>
      </c>
      <c r="C120" s="48" t="s">
        <v>510</v>
      </c>
    </row>
    <row r="121" customFormat="false" ht="15.75" hidden="false" customHeight="false" outlineLevel="0" collapsed="false">
      <c r="A121" s="48" t="s">
        <v>392</v>
      </c>
      <c r="B121" s="48" t="s">
        <v>31</v>
      </c>
      <c r="C121" s="48" t="s">
        <v>511</v>
      </c>
    </row>
    <row r="122" customFormat="false" ht="15.75" hidden="false" customHeight="false" outlineLevel="0" collapsed="false">
      <c r="A122" s="48" t="s">
        <v>392</v>
      </c>
      <c r="B122" s="48" t="s">
        <v>31</v>
      </c>
      <c r="C122" s="48" t="s">
        <v>512</v>
      </c>
    </row>
    <row r="123" customFormat="false" ht="15.75" hidden="false" customHeight="false" outlineLevel="0" collapsed="false">
      <c r="A123" s="48" t="s">
        <v>392</v>
      </c>
      <c r="B123" s="48" t="s">
        <v>31</v>
      </c>
      <c r="C123" s="48" t="s">
        <v>513</v>
      </c>
    </row>
    <row r="124" customFormat="false" ht="15.75" hidden="false" customHeight="false" outlineLevel="0" collapsed="false">
      <c r="A124" s="48" t="s">
        <v>392</v>
      </c>
      <c r="B124" s="48" t="s">
        <v>31</v>
      </c>
      <c r="C124" s="48" t="s">
        <v>514</v>
      </c>
    </row>
    <row r="125" customFormat="false" ht="15.75" hidden="false" customHeight="false" outlineLevel="0" collapsed="false">
      <c r="A125" s="48" t="s">
        <v>392</v>
      </c>
      <c r="B125" s="48" t="s">
        <v>31</v>
      </c>
      <c r="C125" s="48" t="s">
        <v>515</v>
      </c>
    </row>
    <row r="126" customFormat="false" ht="15.75" hidden="false" customHeight="false" outlineLevel="0" collapsed="false">
      <c r="A126" s="48" t="s">
        <v>392</v>
      </c>
      <c r="B126" s="48" t="s">
        <v>31</v>
      </c>
      <c r="C126" s="48" t="s">
        <v>516</v>
      </c>
    </row>
    <row r="127" customFormat="false" ht="15.75" hidden="false" customHeight="false" outlineLevel="0" collapsed="false">
      <c r="A127" s="48" t="s">
        <v>392</v>
      </c>
      <c r="B127" s="48" t="s">
        <v>31</v>
      </c>
      <c r="C127" s="48" t="s">
        <v>517</v>
      </c>
    </row>
    <row r="128" customFormat="false" ht="15.75" hidden="false" customHeight="false" outlineLevel="0" collapsed="false">
      <c r="A128" s="48" t="s">
        <v>392</v>
      </c>
      <c r="B128" s="48" t="s">
        <v>31</v>
      </c>
      <c r="C128" s="48" t="s">
        <v>518</v>
      </c>
    </row>
    <row r="129" customFormat="false" ht="15.75" hidden="false" customHeight="false" outlineLevel="0" collapsed="false">
      <c r="A129" s="48" t="s">
        <v>392</v>
      </c>
      <c r="B129" s="48" t="s">
        <v>31</v>
      </c>
      <c r="C129" s="48" t="s">
        <v>519</v>
      </c>
    </row>
    <row r="130" customFormat="false" ht="15.75" hidden="false" customHeight="false" outlineLevel="0" collapsed="false">
      <c r="A130" s="48" t="s">
        <v>392</v>
      </c>
      <c r="B130" s="48" t="s">
        <v>31</v>
      </c>
      <c r="C130" s="48" t="s">
        <v>520</v>
      </c>
    </row>
    <row r="131" customFormat="false" ht="15.75" hidden="false" customHeight="false" outlineLevel="0" collapsed="false">
      <c r="A131" s="48" t="s">
        <v>392</v>
      </c>
      <c r="B131" s="48" t="s">
        <v>31</v>
      </c>
      <c r="C131" s="48" t="s">
        <v>521</v>
      </c>
    </row>
    <row r="132" customFormat="false" ht="15.75" hidden="false" customHeight="false" outlineLevel="0" collapsed="false">
      <c r="A132" s="48" t="s">
        <v>392</v>
      </c>
      <c r="B132" s="48" t="s">
        <v>31</v>
      </c>
      <c r="C132" s="48" t="s">
        <v>522</v>
      </c>
    </row>
    <row r="133" customFormat="false" ht="15.75" hidden="false" customHeight="false" outlineLevel="0" collapsed="false">
      <c r="A133" s="48" t="s">
        <v>392</v>
      </c>
      <c r="B133" s="48" t="s">
        <v>31</v>
      </c>
      <c r="C133" s="48" t="s">
        <v>523</v>
      </c>
    </row>
    <row r="134" customFormat="false" ht="15.75" hidden="false" customHeight="false" outlineLevel="0" collapsed="false">
      <c r="A134" s="48" t="s">
        <v>392</v>
      </c>
      <c r="B134" s="48" t="s">
        <v>31</v>
      </c>
      <c r="C134" s="48" t="s">
        <v>524</v>
      </c>
    </row>
    <row r="135" customFormat="false" ht="15.75" hidden="false" customHeight="false" outlineLevel="0" collapsed="false">
      <c r="A135" s="48" t="s">
        <v>392</v>
      </c>
      <c r="B135" s="48" t="s">
        <v>31</v>
      </c>
      <c r="C135" s="48" t="s">
        <v>525</v>
      </c>
    </row>
    <row r="136" customFormat="false" ht="15.75" hidden="false" customHeight="false" outlineLevel="0" collapsed="false">
      <c r="A136" s="48" t="s">
        <v>392</v>
      </c>
      <c r="B136" s="48" t="s">
        <v>31</v>
      </c>
      <c r="C136" s="48" t="s">
        <v>526</v>
      </c>
    </row>
    <row r="137" customFormat="false" ht="15.75" hidden="false" customHeight="false" outlineLevel="0" collapsed="false">
      <c r="A137" s="48" t="s">
        <v>392</v>
      </c>
      <c r="B137" s="48" t="s">
        <v>31</v>
      </c>
      <c r="C137" s="48" t="s">
        <v>527</v>
      </c>
    </row>
    <row r="138" customFormat="false" ht="15.75" hidden="false" customHeight="false" outlineLevel="0" collapsed="false">
      <c r="A138" s="48" t="s">
        <v>392</v>
      </c>
      <c r="B138" s="48" t="s">
        <v>31</v>
      </c>
      <c r="C138" s="48" t="s">
        <v>528</v>
      </c>
    </row>
    <row r="139" customFormat="false" ht="15.75" hidden="false" customHeight="false" outlineLevel="0" collapsed="false">
      <c r="A139" s="48" t="s">
        <v>392</v>
      </c>
      <c r="B139" s="48" t="s">
        <v>31</v>
      </c>
      <c r="C139" s="48" t="s">
        <v>529</v>
      </c>
    </row>
    <row r="140" customFormat="false" ht="15.75" hidden="false" customHeight="false" outlineLevel="0" collapsed="false">
      <c r="A140" s="48" t="s">
        <v>392</v>
      </c>
      <c r="B140" s="48" t="s">
        <v>31</v>
      </c>
      <c r="C140" s="48" t="s">
        <v>530</v>
      </c>
    </row>
    <row r="141" customFormat="false" ht="15.75" hidden="false" customHeight="false" outlineLevel="0" collapsed="false">
      <c r="A141" s="48" t="s">
        <v>392</v>
      </c>
      <c r="B141" s="48" t="s">
        <v>31</v>
      </c>
      <c r="C141" s="48" t="s">
        <v>531</v>
      </c>
    </row>
    <row r="142" customFormat="false" ht="15.75" hidden="false" customHeight="false" outlineLevel="0" collapsed="false">
      <c r="A142" s="48" t="s">
        <v>392</v>
      </c>
      <c r="B142" s="48" t="s">
        <v>31</v>
      </c>
      <c r="C142" s="48" t="s">
        <v>532</v>
      </c>
    </row>
    <row r="143" customFormat="false" ht="15.75" hidden="false" customHeight="false" outlineLevel="0" collapsed="false">
      <c r="A143" s="48" t="s">
        <v>392</v>
      </c>
      <c r="B143" s="48" t="s">
        <v>31</v>
      </c>
      <c r="C143" s="48" t="s">
        <v>533</v>
      </c>
    </row>
    <row r="144" customFormat="false" ht="15.75" hidden="false" customHeight="false" outlineLevel="0" collapsed="false">
      <c r="A144" s="48" t="s">
        <v>392</v>
      </c>
      <c r="B144" s="48" t="s">
        <v>31</v>
      </c>
      <c r="C144" s="48" t="s">
        <v>534</v>
      </c>
    </row>
    <row r="145" customFormat="false" ht="15.75" hidden="false" customHeight="false" outlineLevel="0" collapsed="false">
      <c r="A145" s="48" t="s">
        <v>392</v>
      </c>
      <c r="B145" s="48" t="s">
        <v>31</v>
      </c>
      <c r="C145" s="48" t="s">
        <v>535</v>
      </c>
    </row>
    <row r="146" customFormat="false" ht="15.75" hidden="false" customHeight="false" outlineLevel="0" collapsed="false">
      <c r="A146" s="48" t="s">
        <v>392</v>
      </c>
      <c r="B146" s="48" t="s">
        <v>31</v>
      </c>
      <c r="C146" s="48" t="s">
        <v>536</v>
      </c>
    </row>
    <row r="147" customFormat="false" ht="15.75" hidden="false" customHeight="false" outlineLevel="0" collapsed="false">
      <c r="A147" s="48" t="s">
        <v>392</v>
      </c>
      <c r="B147" s="48" t="s">
        <v>31</v>
      </c>
      <c r="C147" s="48" t="s">
        <v>537</v>
      </c>
    </row>
    <row r="148" customFormat="false" ht="15.75" hidden="false" customHeight="false" outlineLevel="0" collapsed="false">
      <c r="A148" s="48" t="s">
        <v>392</v>
      </c>
      <c r="B148" s="48" t="s">
        <v>31</v>
      </c>
      <c r="C148" s="48" t="s">
        <v>538</v>
      </c>
    </row>
    <row r="149" customFormat="false" ht="15.75" hidden="false" customHeight="false" outlineLevel="0" collapsed="false">
      <c r="A149" s="48" t="s">
        <v>392</v>
      </c>
      <c r="B149" s="48" t="s">
        <v>31</v>
      </c>
      <c r="C149" s="48" t="s">
        <v>539</v>
      </c>
    </row>
    <row r="150" customFormat="false" ht="15.75" hidden="false" customHeight="false" outlineLevel="0" collapsed="false">
      <c r="A150" s="48" t="s">
        <v>392</v>
      </c>
      <c r="B150" s="48" t="s">
        <v>31</v>
      </c>
      <c r="C150" s="48" t="s">
        <v>540</v>
      </c>
    </row>
    <row r="151" customFormat="false" ht="15.75" hidden="false" customHeight="false" outlineLevel="0" collapsed="false">
      <c r="A151" s="48" t="s">
        <v>392</v>
      </c>
      <c r="B151" s="48" t="s">
        <v>31</v>
      </c>
      <c r="C151" s="48" t="s">
        <v>541</v>
      </c>
    </row>
    <row r="152" customFormat="false" ht="15.75" hidden="false" customHeight="false" outlineLevel="0" collapsed="false">
      <c r="A152" s="48" t="s">
        <v>392</v>
      </c>
      <c r="B152" s="48" t="s">
        <v>31</v>
      </c>
      <c r="C152" s="48" t="s">
        <v>542</v>
      </c>
    </row>
    <row r="153" customFormat="false" ht="15.75" hidden="false" customHeight="false" outlineLevel="0" collapsed="false">
      <c r="A153" s="48" t="s">
        <v>392</v>
      </c>
      <c r="B153" s="48" t="s">
        <v>31</v>
      </c>
      <c r="C153" s="48" t="s">
        <v>543</v>
      </c>
    </row>
    <row r="154" customFormat="false" ht="15.75" hidden="false" customHeight="false" outlineLevel="0" collapsed="false">
      <c r="A154" s="48" t="s">
        <v>392</v>
      </c>
      <c r="B154" s="48" t="s">
        <v>31</v>
      </c>
      <c r="C154" s="48" t="s">
        <v>544</v>
      </c>
    </row>
    <row r="155" customFormat="false" ht="15.75" hidden="false" customHeight="false" outlineLevel="0" collapsed="false">
      <c r="A155" s="48" t="s">
        <v>392</v>
      </c>
      <c r="B155" s="48" t="s">
        <v>31</v>
      </c>
      <c r="C155" s="48" t="s">
        <v>545</v>
      </c>
    </row>
    <row r="156" customFormat="false" ht="15.75" hidden="false" customHeight="false" outlineLevel="0" collapsed="false">
      <c r="A156" s="48" t="s">
        <v>392</v>
      </c>
      <c r="B156" s="48" t="s">
        <v>31</v>
      </c>
      <c r="C156" s="48" t="s">
        <v>546</v>
      </c>
    </row>
    <row r="157" customFormat="false" ht="15.75" hidden="false" customHeight="false" outlineLevel="0" collapsed="false">
      <c r="A157" s="48" t="s">
        <v>392</v>
      </c>
      <c r="B157" s="48" t="s">
        <v>31</v>
      </c>
      <c r="C157" s="48" t="s">
        <v>547</v>
      </c>
    </row>
    <row r="158" customFormat="false" ht="15.75" hidden="false" customHeight="false" outlineLevel="0" collapsed="false">
      <c r="A158" s="48" t="s">
        <v>392</v>
      </c>
      <c r="B158" s="48" t="s">
        <v>31</v>
      </c>
      <c r="C158" s="48" t="s">
        <v>548</v>
      </c>
    </row>
    <row r="159" customFormat="false" ht="15.75" hidden="false" customHeight="false" outlineLevel="0" collapsed="false">
      <c r="A159" s="48" t="s">
        <v>392</v>
      </c>
      <c r="B159" s="48" t="s">
        <v>31</v>
      </c>
      <c r="C159" s="48" t="s">
        <v>549</v>
      </c>
    </row>
    <row r="160" customFormat="false" ht="15.75" hidden="false" customHeight="false" outlineLevel="0" collapsed="false">
      <c r="A160" s="48" t="s">
        <v>392</v>
      </c>
      <c r="B160" s="48" t="s">
        <v>31</v>
      </c>
      <c r="C160" s="48" t="s">
        <v>550</v>
      </c>
    </row>
    <row r="161" customFormat="false" ht="15.75" hidden="false" customHeight="false" outlineLevel="0" collapsed="false">
      <c r="A161" s="48" t="s">
        <v>392</v>
      </c>
      <c r="B161" s="48" t="s">
        <v>31</v>
      </c>
      <c r="C161" s="48" t="s">
        <v>551</v>
      </c>
    </row>
    <row r="162" customFormat="false" ht="15.75" hidden="false" customHeight="false" outlineLevel="0" collapsed="false">
      <c r="A162" s="48" t="s">
        <v>392</v>
      </c>
      <c r="B162" s="48" t="s">
        <v>31</v>
      </c>
      <c r="C162" s="48" t="s">
        <v>552</v>
      </c>
    </row>
    <row r="163" customFormat="false" ht="15.75" hidden="false" customHeight="false" outlineLevel="0" collapsed="false">
      <c r="A163" s="48" t="s">
        <v>392</v>
      </c>
      <c r="B163" s="48" t="s">
        <v>31</v>
      </c>
      <c r="C163" s="48" t="s">
        <v>553</v>
      </c>
    </row>
    <row r="164" customFormat="false" ht="15.75" hidden="false" customHeight="false" outlineLevel="0" collapsed="false">
      <c r="A164" s="48" t="s">
        <v>392</v>
      </c>
      <c r="B164" s="48" t="s">
        <v>31</v>
      </c>
      <c r="C164" s="48" t="s">
        <v>554</v>
      </c>
    </row>
    <row r="165" customFormat="false" ht="15.75" hidden="false" customHeight="false" outlineLevel="0" collapsed="false">
      <c r="A165" s="48" t="s">
        <v>392</v>
      </c>
      <c r="B165" s="48" t="s">
        <v>31</v>
      </c>
      <c r="C165" s="48" t="s">
        <v>555</v>
      </c>
    </row>
    <row r="166" customFormat="false" ht="15.75" hidden="false" customHeight="false" outlineLevel="0" collapsed="false">
      <c r="A166" s="48" t="s">
        <v>392</v>
      </c>
      <c r="B166" s="48" t="s">
        <v>31</v>
      </c>
      <c r="C166" s="48" t="s">
        <v>556</v>
      </c>
    </row>
    <row r="167" customFormat="false" ht="15.75" hidden="false" customHeight="false" outlineLevel="0" collapsed="false">
      <c r="A167" s="48" t="s">
        <v>392</v>
      </c>
      <c r="B167" s="48" t="s">
        <v>31</v>
      </c>
      <c r="C167" s="48" t="s">
        <v>557</v>
      </c>
    </row>
    <row r="168" customFormat="false" ht="15.75" hidden="false" customHeight="false" outlineLevel="0" collapsed="false">
      <c r="A168" s="48" t="s">
        <v>392</v>
      </c>
      <c r="B168" s="48" t="s">
        <v>31</v>
      </c>
      <c r="C168" s="48" t="s">
        <v>558</v>
      </c>
    </row>
    <row r="169" customFormat="false" ht="15.75" hidden="false" customHeight="false" outlineLevel="0" collapsed="false">
      <c r="A169" s="48" t="s">
        <v>392</v>
      </c>
      <c r="B169" s="48" t="s">
        <v>31</v>
      </c>
      <c r="C169" s="48" t="s">
        <v>559</v>
      </c>
    </row>
    <row r="170" customFormat="false" ht="15.75" hidden="false" customHeight="false" outlineLevel="0" collapsed="false">
      <c r="A170" s="48" t="s">
        <v>392</v>
      </c>
      <c r="B170" s="48" t="s">
        <v>31</v>
      </c>
      <c r="C170" s="48" t="s">
        <v>560</v>
      </c>
    </row>
    <row r="171" customFormat="false" ht="15.75" hidden="false" customHeight="false" outlineLevel="0" collapsed="false">
      <c r="A171" s="48" t="s">
        <v>392</v>
      </c>
      <c r="B171" s="48" t="s">
        <v>31</v>
      </c>
      <c r="C171" s="48" t="s">
        <v>561</v>
      </c>
    </row>
    <row r="172" customFormat="false" ht="15.75" hidden="false" customHeight="false" outlineLevel="0" collapsed="false">
      <c r="A172" s="48" t="s">
        <v>392</v>
      </c>
      <c r="B172" s="48" t="s">
        <v>31</v>
      </c>
      <c r="C172" s="48" t="s">
        <v>562</v>
      </c>
    </row>
    <row r="173" customFormat="false" ht="15.75" hidden="false" customHeight="false" outlineLevel="0" collapsed="false">
      <c r="A173" s="48" t="s">
        <v>392</v>
      </c>
      <c r="B173" s="48" t="s">
        <v>31</v>
      </c>
      <c r="C173" s="48" t="s">
        <v>563</v>
      </c>
    </row>
    <row r="174" customFormat="false" ht="15.75" hidden="false" customHeight="false" outlineLevel="0" collapsed="false">
      <c r="A174" s="48" t="s">
        <v>392</v>
      </c>
      <c r="B174" s="48" t="s">
        <v>31</v>
      </c>
      <c r="C174" s="48" t="s">
        <v>564</v>
      </c>
    </row>
    <row r="175" customFormat="false" ht="15.75" hidden="false" customHeight="false" outlineLevel="0" collapsed="false">
      <c r="A175" s="48" t="s">
        <v>392</v>
      </c>
      <c r="B175" s="48" t="s">
        <v>31</v>
      </c>
      <c r="C175" s="48" t="s">
        <v>565</v>
      </c>
    </row>
    <row r="176" customFormat="false" ht="15.75" hidden="false" customHeight="false" outlineLevel="0" collapsed="false">
      <c r="A176" s="48" t="s">
        <v>392</v>
      </c>
      <c r="B176" s="48" t="s">
        <v>31</v>
      </c>
      <c r="C176" s="48" t="s">
        <v>566</v>
      </c>
    </row>
    <row r="177" customFormat="false" ht="15.75" hidden="false" customHeight="false" outlineLevel="0" collapsed="false">
      <c r="A177" s="48" t="s">
        <v>392</v>
      </c>
      <c r="B177" s="48" t="s">
        <v>31</v>
      </c>
      <c r="C177" s="48" t="s">
        <v>567</v>
      </c>
    </row>
    <row r="178" customFormat="false" ht="15.75" hidden="false" customHeight="false" outlineLevel="0" collapsed="false">
      <c r="A178" s="48" t="s">
        <v>392</v>
      </c>
      <c r="B178" s="48" t="s">
        <v>31</v>
      </c>
      <c r="C178" s="48" t="s">
        <v>568</v>
      </c>
    </row>
    <row r="179" customFormat="false" ht="15.75" hidden="false" customHeight="false" outlineLevel="0" collapsed="false">
      <c r="A179" s="48" t="s">
        <v>392</v>
      </c>
      <c r="B179" s="48" t="s">
        <v>31</v>
      </c>
      <c r="C179" s="48" t="s">
        <v>569</v>
      </c>
    </row>
    <row r="180" customFormat="false" ht="15.75" hidden="false" customHeight="false" outlineLevel="0" collapsed="false">
      <c r="A180" s="48" t="s">
        <v>392</v>
      </c>
      <c r="B180" s="48" t="s">
        <v>31</v>
      </c>
      <c r="C180" s="48" t="s">
        <v>570</v>
      </c>
    </row>
    <row r="181" customFormat="false" ht="15.75" hidden="false" customHeight="false" outlineLevel="0" collapsed="false">
      <c r="A181" s="48" t="s">
        <v>392</v>
      </c>
      <c r="B181" s="48" t="s">
        <v>31</v>
      </c>
      <c r="C181" s="48" t="s">
        <v>571</v>
      </c>
    </row>
    <row r="182" customFormat="false" ht="15.75" hidden="false" customHeight="false" outlineLevel="0" collapsed="false">
      <c r="A182" s="48" t="s">
        <v>392</v>
      </c>
      <c r="B182" s="48" t="s">
        <v>31</v>
      </c>
      <c r="C182" s="48" t="s">
        <v>572</v>
      </c>
    </row>
    <row r="183" customFormat="false" ht="15.75" hidden="false" customHeight="false" outlineLevel="0" collapsed="false">
      <c r="A183" s="48" t="s">
        <v>392</v>
      </c>
      <c r="B183" s="48" t="s">
        <v>31</v>
      </c>
      <c r="C183" s="48" t="s">
        <v>573</v>
      </c>
    </row>
    <row r="184" customFormat="false" ht="15.75" hidden="false" customHeight="false" outlineLevel="0" collapsed="false">
      <c r="A184" s="48" t="s">
        <v>392</v>
      </c>
      <c r="B184" s="48" t="s">
        <v>31</v>
      </c>
      <c r="C184" s="48" t="s">
        <v>574</v>
      </c>
    </row>
    <row r="185" customFormat="false" ht="15.75" hidden="false" customHeight="false" outlineLevel="0" collapsed="false">
      <c r="A185" s="48" t="s">
        <v>392</v>
      </c>
      <c r="B185" s="48" t="s">
        <v>31</v>
      </c>
      <c r="C185" s="48" t="s">
        <v>575</v>
      </c>
    </row>
    <row r="186" customFormat="false" ht="15.75" hidden="false" customHeight="false" outlineLevel="0" collapsed="false">
      <c r="A186" s="48" t="s">
        <v>392</v>
      </c>
      <c r="B186" s="48" t="s">
        <v>31</v>
      </c>
      <c r="C186" s="48" t="s">
        <v>33</v>
      </c>
    </row>
    <row r="187" customFormat="false" ht="15.75" hidden="false" customHeight="false" outlineLevel="0" collapsed="false">
      <c r="A187" s="48" t="s">
        <v>392</v>
      </c>
      <c r="B187" s="48" t="s">
        <v>31</v>
      </c>
      <c r="C187" s="48" t="s">
        <v>576</v>
      </c>
    </row>
    <row r="188" customFormat="false" ht="15.75" hidden="false" customHeight="false" outlineLevel="0" collapsed="false">
      <c r="A188" s="48" t="s">
        <v>392</v>
      </c>
      <c r="B188" s="48" t="s">
        <v>31</v>
      </c>
      <c r="C188" s="48" t="s">
        <v>577</v>
      </c>
    </row>
    <row r="189" customFormat="false" ht="15.75" hidden="false" customHeight="false" outlineLevel="0" collapsed="false">
      <c r="A189" s="48" t="s">
        <v>392</v>
      </c>
      <c r="B189" s="48" t="s">
        <v>31</v>
      </c>
      <c r="C189" s="48" t="s">
        <v>578</v>
      </c>
    </row>
    <row r="190" customFormat="false" ht="15.75" hidden="false" customHeight="false" outlineLevel="0" collapsed="false">
      <c r="A190" s="48" t="s">
        <v>392</v>
      </c>
      <c r="B190" s="48" t="s">
        <v>31</v>
      </c>
      <c r="C190" s="48" t="s">
        <v>579</v>
      </c>
    </row>
    <row r="191" customFormat="false" ht="15.75" hidden="false" customHeight="false" outlineLevel="0" collapsed="false">
      <c r="A191" s="48" t="s">
        <v>392</v>
      </c>
      <c r="B191" s="48" t="s">
        <v>31</v>
      </c>
      <c r="C191" s="48" t="s">
        <v>580</v>
      </c>
    </row>
    <row r="192" customFormat="false" ht="15.75" hidden="false" customHeight="false" outlineLevel="0" collapsed="false">
      <c r="A192" s="48" t="s">
        <v>392</v>
      </c>
      <c r="B192" s="48" t="s">
        <v>31</v>
      </c>
      <c r="C192" s="48" t="s">
        <v>581</v>
      </c>
    </row>
    <row r="193" customFormat="false" ht="15.75" hidden="false" customHeight="false" outlineLevel="0" collapsed="false">
      <c r="A193" s="48" t="s">
        <v>392</v>
      </c>
      <c r="B193" s="48" t="s">
        <v>31</v>
      </c>
      <c r="C193" s="48" t="s">
        <v>582</v>
      </c>
    </row>
    <row r="194" customFormat="false" ht="15.75" hidden="false" customHeight="false" outlineLevel="0" collapsed="false">
      <c r="A194" s="48" t="s">
        <v>392</v>
      </c>
      <c r="B194" s="48" t="s">
        <v>31</v>
      </c>
      <c r="C194" s="48" t="s">
        <v>583</v>
      </c>
    </row>
    <row r="195" customFormat="false" ht="15.75" hidden="false" customHeight="false" outlineLevel="0" collapsed="false">
      <c r="A195" s="48" t="s">
        <v>392</v>
      </c>
      <c r="B195" s="48" t="s">
        <v>31</v>
      </c>
      <c r="C195" s="48" t="s">
        <v>584</v>
      </c>
    </row>
    <row r="196" customFormat="false" ht="15.75" hidden="false" customHeight="false" outlineLevel="0" collapsed="false">
      <c r="A196" s="48" t="s">
        <v>392</v>
      </c>
      <c r="B196" s="48" t="s">
        <v>31</v>
      </c>
      <c r="C196" s="48" t="s">
        <v>585</v>
      </c>
    </row>
    <row r="197" customFormat="false" ht="15.75" hidden="false" customHeight="false" outlineLevel="0" collapsed="false">
      <c r="A197" s="48" t="s">
        <v>392</v>
      </c>
      <c r="B197" s="48" t="s">
        <v>31</v>
      </c>
      <c r="C197" s="48" t="s">
        <v>586</v>
      </c>
    </row>
    <row r="198" customFormat="false" ht="15.75" hidden="false" customHeight="false" outlineLevel="0" collapsed="false">
      <c r="A198" s="48" t="s">
        <v>392</v>
      </c>
      <c r="B198" s="48" t="s">
        <v>31</v>
      </c>
      <c r="C198" s="48" t="s">
        <v>587</v>
      </c>
    </row>
    <row r="199" customFormat="false" ht="15.75" hidden="false" customHeight="false" outlineLevel="0" collapsed="false">
      <c r="A199" s="48" t="s">
        <v>392</v>
      </c>
      <c r="B199" s="48" t="s">
        <v>31</v>
      </c>
      <c r="C199" s="48" t="s">
        <v>588</v>
      </c>
    </row>
    <row r="200" customFormat="false" ht="15.75" hidden="false" customHeight="false" outlineLevel="0" collapsed="false">
      <c r="A200" s="48" t="s">
        <v>392</v>
      </c>
      <c r="B200" s="48" t="s">
        <v>31</v>
      </c>
      <c r="C200" s="48" t="s">
        <v>589</v>
      </c>
    </row>
    <row r="201" customFormat="false" ht="15.75" hidden="false" customHeight="false" outlineLevel="0" collapsed="false">
      <c r="A201" s="48" t="s">
        <v>392</v>
      </c>
      <c r="B201" s="48" t="s">
        <v>31</v>
      </c>
      <c r="C201" s="48" t="s">
        <v>590</v>
      </c>
    </row>
    <row r="202" customFormat="false" ht="15.75" hidden="false" customHeight="false" outlineLevel="0" collapsed="false">
      <c r="A202" s="48" t="s">
        <v>392</v>
      </c>
      <c r="B202" s="48" t="s">
        <v>31</v>
      </c>
      <c r="C202" s="48" t="s">
        <v>591</v>
      </c>
    </row>
    <row r="203" customFormat="false" ht="15.75" hidden="false" customHeight="false" outlineLevel="0" collapsed="false">
      <c r="A203" s="48" t="s">
        <v>392</v>
      </c>
      <c r="B203" s="48" t="s">
        <v>31</v>
      </c>
      <c r="C203" s="48" t="s">
        <v>592</v>
      </c>
    </row>
    <row r="204" customFormat="false" ht="15.75" hidden="false" customHeight="false" outlineLevel="0" collapsed="false">
      <c r="A204" s="48" t="s">
        <v>392</v>
      </c>
      <c r="B204" s="48" t="s">
        <v>31</v>
      </c>
      <c r="C204" s="48" t="s">
        <v>593</v>
      </c>
    </row>
    <row r="205" customFormat="false" ht="15.75" hidden="false" customHeight="false" outlineLevel="0" collapsed="false">
      <c r="A205" s="48" t="s">
        <v>392</v>
      </c>
      <c r="B205" s="48" t="s">
        <v>31</v>
      </c>
      <c r="C205" s="48" t="s">
        <v>594</v>
      </c>
    </row>
    <row r="206" customFormat="false" ht="15.75" hidden="false" customHeight="false" outlineLevel="0" collapsed="false">
      <c r="A206" s="48" t="s">
        <v>392</v>
      </c>
      <c r="B206" s="48" t="s">
        <v>31</v>
      </c>
      <c r="C206" s="48" t="s">
        <v>595</v>
      </c>
    </row>
    <row r="207" customFormat="false" ht="15.75" hidden="false" customHeight="false" outlineLevel="0" collapsed="false">
      <c r="A207" s="48" t="s">
        <v>392</v>
      </c>
      <c r="B207" s="48" t="s">
        <v>31</v>
      </c>
      <c r="C207" s="48" t="s">
        <v>596</v>
      </c>
    </row>
    <row r="208" customFormat="false" ht="15.75" hidden="false" customHeight="false" outlineLevel="0" collapsed="false">
      <c r="A208" s="48" t="s">
        <v>392</v>
      </c>
      <c r="B208" s="48" t="s">
        <v>31</v>
      </c>
      <c r="C208" s="48" t="s">
        <v>597</v>
      </c>
    </row>
    <row r="209" customFormat="false" ht="15.75" hidden="false" customHeight="false" outlineLevel="0" collapsed="false">
      <c r="A209" s="48" t="s">
        <v>392</v>
      </c>
      <c r="B209" s="48" t="s">
        <v>31</v>
      </c>
      <c r="C209" s="48" t="s">
        <v>598</v>
      </c>
    </row>
    <row r="210" customFormat="false" ht="15.75" hidden="false" customHeight="false" outlineLevel="0" collapsed="false">
      <c r="A210" s="48" t="s">
        <v>392</v>
      </c>
      <c r="B210" s="48" t="s">
        <v>31</v>
      </c>
      <c r="C210" s="48" t="s">
        <v>599</v>
      </c>
    </row>
    <row r="211" customFormat="false" ht="15.75" hidden="false" customHeight="false" outlineLevel="0" collapsed="false">
      <c r="A211" s="48" t="s">
        <v>392</v>
      </c>
      <c r="B211" s="48" t="s">
        <v>31</v>
      </c>
      <c r="C211" s="48" t="s">
        <v>600</v>
      </c>
    </row>
    <row r="212" customFormat="false" ht="15.75" hidden="false" customHeight="false" outlineLevel="0" collapsed="false">
      <c r="A212" s="48" t="s">
        <v>392</v>
      </c>
      <c r="B212" s="48" t="s">
        <v>31</v>
      </c>
      <c r="C212" s="48" t="s">
        <v>601</v>
      </c>
    </row>
    <row r="213" customFormat="false" ht="15.75" hidden="false" customHeight="false" outlineLevel="0" collapsed="false">
      <c r="A213" s="48" t="s">
        <v>392</v>
      </c>
      <c r="B213" s="48" t="s">
        <v>31</v>
      </c>
      <c r="C213" s="48" t="s">
        <v>602</v>
      </c>
    </row>
    <row r="214" customFormat="false" ht="15.75" hidden="false" customHeight="false" outlineLevel="0" collapsed="false">
      <c r="A214" s="48" t="s">
        <v>392</v>
      </c>
      <c r="B214" s="48" t="s">
        <v>31</v>
      </c>
      <c r="C214" s="48" t="s">
        <v>603</v>
      </c>
    </row>
    <row r="215" customFormat="false" ht="15.75" hidden="false" customHeight="false" outlineLevel="0" collapsed="false">
      <c r="A215" s="48" t="s">
        <v>392</v>
      </c>
      <c r="B215" s="48" t="s">
        <v>31</v>
      </c>
      <c r="C215" s="48" t="s">
        <v>604</v>
      </c>
    </row>
    <row r="216" customFormat="false" ht="15.75" hidden="false" customHeight="false" outlineLevel="0" collapsed="false">
      <c r="A216" s="48" t="s">
        <v>392</v>
      </c>
      <c r="B216" s="48" t="s">
        <v>31</v>
      </c>
      <c r="C216" s="48" t="s">
        <v>605</v>
      </c>
    </row>
    <row r="217" customFormat="false" ht="15.75" hidden="false" customHeight="false" outlineLevel="0" collapsed="false">
      <c r="A217" s="48" t="s">
        <v>392</v>
      </c>
      <c r="B217" s="48" t="s">
        <v>31</v>
      </c>
      <c r="C217" s="48" t="s">
        <v>606</v>
      </c>
    </row>
    <row r="218" customFormat="false" ht="15.75" hidden="false" customHeight="false" outlineLevel="0" collapsed="false">
      <c r="A218" s="48" t="s">
        <v>392</v>
      </c>
      <c r="B218" s="48" t="s">
        <v>31</v>
      </c>
      <c r="C218" s="48" t="s">
        <v>607</v>
      </c>
    </row>
    <row r="219" customFormat="false" ht="15.75" hidden="false" customHeight="false" outlineLevel="0" collapsed="false">
      <c r="A219" s="48" t="s">
        <v>392</v>
      </c>
      <c r="B219" s="48" t="s">
        <v>31</v>
      </c>
      <c r="C219" s="48" t="s">
        <v>608</v>
      </c>
    </row>
    <row r="220" customFormat="false" ht="15.75" hidden="false" customHeight="false" outlineLevel="0" collapsed="false">
      <c r="A220" s="48" t="s">
        <v>392</v>
      </c>
      <c r="B220" s="48" t="s">
        <v>31</v>
      </c>
      <c r="C220" s="48" t="s">
        <v>609</v>
      </c>
    </row>
    <row r="221" customFormat="false" ht="15.75" hidden="false" customHeight="false" outlineLevel="0" collapsed="false">
      <c r="A221" s="48" t="s">
        <v>392</v>
      </c>
      <c r="B221" s="48" t="s">
        <v>31</v>
      </c>
      <c r="C221" s="48" t="s">
        <v>610</v>
      </c>
    </row>
    <row r="222" customFormat="false" ht="15.75" hidden="false" customHeight="false" outlineLevel="0" collapsed="false">
      <c r="A222" s="48" t="s">
        <v>392</v>
      </c>
      <c r="B222" s="48" t="s">
        <v>37</v>
      </c>
      <c r="C222" s="48" t="s">
        <v>39</v>
      </c>
    </row>
    <row r="223" customFormat="false" ht="15.75" hidden="false" customHeight="false" outlineLevel="0" collapsed="false">
      <c r="A223" s="48" t="s">
        <v>392</v>
      </c>
      <c r="B223" s="48" t="s">
        <v>37</v>
      </c>
      <c r="C223" s="48" t="s">
        <v>611</v>
      </c>
    </row>
    <row r="224" customFormat="false" ht="15.75" hidden="false" customHeight="false" outlineLevel="0" collapsed="false">
      <c r="A224" s="48" t="s">
        <v>392</v>
      </c>
      <c r="B224" s="48" t="s">
        <v>37</v>
      </c>
      <c r="C224" s="48" t="s">
        <v>612</v>
      </c>
    </row>
    <row r="225" customFormat="false" ht="15.75" hidden="false" customHeight="false" outlineLevel="0" collapsed="false">
      <c r="A225" s="48" t="s">
        <v>392</v>
      </c>
      <c r="B225" s="48" t="s">
        <v>37</v>
      </c>
      <c r="C225" s="48" t="s">
        <v>613</v>
      </c>
    </row>
    <row r="226" customFormat="false" ht="15.75" hidden="false" customHeight="false" outlineLevel="0" collapsed="false">
      <c r="A226" s="48" t="s">
        <v>392</v>
      </c>
      <c r="B226" s="48" t="s">
        <v>37</v>
      </c>
      <c r="C226" s="48" t="s">
        <v>614</v>
      </c>
    </row>
    <row r="227" customFormat="false" ht="15.75" hidden="false" customHeight="false" outlineLevel="0" collapsed="false">
      <c r="A227" s="48" t="s">
        <v>392</v>
      </c>
      <c r="B227" s="48" t="s">
        <v>37</v>
      </c>
      <c r="C227" s="48" t="s">
        <v>615</v>
      </c>
    </row>
    <row r="228" customFormat="false" ht="15.75" hidden="false" customHeight="false" outlineLevel="0" collapsed="false">
      <c r="A228" s="48" t="s">
        <v>392</v>
      </c>
      <c r="B228" s="48" t="s">
        <v>37</v>
      </c>
      <c r="C228" s="48" t="s">
        <v>616</v>
      </c>
    </row>
    <row r="229" customFormat="false" ht="15.75" hidden="false" customHeight="false" outlineLevel="0" collapsed="false">
      <c r="A229" s="48" t="s">
        <v>392</v>
      </c>
      <c r="B229" s="48" t="s">
        <v>37</v>
      </c>
      <c r="C229" s="48" t="s">
        <v>617</v>
      </c>
    </row>
    <row r="230" customFormat="false" ht="15.75" hidden="false" customHeight="false" outlineLevel="0" collapsed="false">
      <c r="A230" s="48" t="s">
        <v>392</v>
      </c>
      <c r="B230" s="48" t="s">
        <v>37</v>
      </c>
      <c r="C230" s="48" t="s">
        <v>618</v>
      </c>
    </row>
    <row r="231" customFormat="false" ht="15.75" hidden="false" customHeight="false" outlineLevel="0" collapsed="false">
      <c r="A231" s="48" t="s">
        <v>392</v>
      </c>
      <c r="B231" s="48" t="s">
        <v>37</v>
      </c>
      <c r="C231" s="48" t="s">
        <v>619</v>
      </c>
    </row>
    <row r="232" customFormat="false" ht="15.75" hidden="false" customHeight="false" outlineLevel="0" collapsed="false">
      <c r="A232" s="48" t="s">
        <v>392</v>
      </c>
      <c r="B232" s="48" t="s">
        <v>37</v>
      </c>
      <c r="C232" s="48" t="s">
        <v>620</v>
      </c>
    </row>
    <row r="233" customFormat="false" ht="15.75" hidden="false" customHeight="false" outlineLevel="0" collapsed="false">
      <c r="A233" s="48" t="s">
        <v>392</v>
      </c>
      <c r="B233" s="48" t="s">
        <v>37</v>
      </c>
      <c r="C233" s="48" t="s">
        <v>621</v>
      </c>
    </row>
    <row r="234" customFormat="false" ht="15.75" hidden="false" customHeight="false" outlineLevel="0" collapsed="false">
      <c r="A234" s="48" t="s">
        <v>392</v>
      </c>
      <c r="B234" s="48" t="s">
        <v>37</v>
      </c>
      <c r="C234" s="48" t="s">
        <v>622</v>
      </c>
    </row>
    <row r="235" customFormat="false" ht="15.75" hidden="false" customHeight="false" outlineLevel="0" collapsed="false">
      <c r="A235" s="48" t="s">
        <v>392</v>
      </c>
      <c r="B235" s="48" t="s">
        <v>37</v>
      </c>
      <c r="C235" s="48" t="s">
        <v>623</v>
      </c>
    </row>
    <row r="236" customFormat="false" ht="15.75" hidden="false" customHeight="false" outlineLevel="0" collapsed="false">
      <c r="A236" s="48" t="s">
        <v>392</v>
      </c>
      <c r="B236" s="48" t="s">
        <v>37</v>
      </c>
      <c r="C236" s="48" t="s">
        <v>624</v>
      </c>
    </row>
    <row r="237" customFormat="false" ht="15.75" hidden="false" customHeight="false" outlineLevel="0" collapsed="false">
      <c r="A237" s="48" t="s">
        <v>392</v>
      </c>
      <c r="B237" s="48" t="s">
        <v>37</v>
      </c>
      <c r="C237" s="48" t="s">
        <v>625</v>
      </c>
    </row>
    <row r="238" customFormat="false" ht="15.75" hidden="false" customHeight="false" outlineLevel="0" collapsed="false">
      <c r="A238" s="48" t="s">
        <v>392</v>
      </c>
      <c r="B238" s="48" t="s">
        <v>37</v>
      </c>
      <c r="C238" s="48" t="s">
        <v>626</v>
      </c>
    </row>
    <row r="239" customFormat="false" ht="15.75" hidden="false" customHeight="false" outlineLevel="0" collapsed="false">
      <c r="A239" s="48" t="s">
        <v>392</v>
      </c>
      <c r="B239" s="48" t="s">
        <v>37</v>
      </c>
      <c r="C239" s="48" t="s">
        <v>627</v>
      </c>
    </row>
    <row r="240" customFormat="false" ht="15.75" hidden="false" customHeight="false" outlineLevel="0" collapsed="false">
      <c r="A240" s="48" t="s">
        <v>392</v>
      </c>
      <c r="B240" s="48" t="s">
        <v>37</v>
      </c>
      <c r="C240" s="48" t="s">
        <v>628</v>
      </c>
    </row>
    <row r="241" customFormat="false" ht="15.75" hidden="false" customHeight="false" outlineLevel="0" collapsed="false">
      <c r="A241" s="48" t="s">
        <v>392</v>
      </c>
      <c r="B241" s="48" t="s">
        <v>37</v>
      </c>
      <c r="C241" s="48" t="s">
        <v>629</v>
      </c>
    </row>
    <row r="242" customFormat="false" ht="15.75" hidden="false" customHeight="false" outlineLevel="0" collapsed="false">
      <c r="A242" s="48" t="s">
        <v>392</v>
      </c>
      <c r="B242" s="48" t="s">
        <v>37</v>
      </c>
      <c r="C242" s="48" t="s">
        <v>586</v>
      </c>
    </row>
    <row r="243" customFormat="false" ht="15.75" hidden="false" customHeight="false" outlineLevel="0" collapsed="false">
      <c r="A243" s="48" t="s">
        <v>392</v>
      </c>
      <c r="B243" s="48" t="s">
        <v>37</v>
      </c>
      <c r="C243" s="48" t="s">
        <v>630</v>
      </c>
    </row>
    <row r="244" customFormat="false" ht="15.75" hidden="false" customHeight="false" outlineLevel="0" collapsed="false">
      <c r="A244" s="48" t="s">
        <v>392</v>
      </c>
      <c r="B244" s="48" t="s">
        <v>37</v>
      </c>
      <c r="C244" s="48" t="s">
        <v>631</v>
      </c>
    </row>
    <row r="245" customFormat="false" ht="15.75" hidden="false" customHeight="false" outlineLevel="0" collapsed="false">
      <c r="A245" s="48" t="s">
        <v>392</v>
      </c>
      <c r="B245" s="48" t="s">
        <v>37</v>
      </c>
      <c r="C245" s="48" t="s">
        <v>632</v>
      </c>
    </row>
    <row r="246" customFormat="false" ht="15.75" hidden="false" customHeight="false" outlineLevel="0" collapsed="false">
      <c r="A246" s="48" t="s">
        <v>392</v>
      </c>
      <c r="B246" s="48" t="s">
        <v>64</v>
      </c>
      <c r="C246" s="48" t="s">
        <v>633</v>
      </c>
    </row>
    <row r="247" customFormat="false" ht="15.75" hidden="false" customHeight="false" outlineLevel="0" collapsed="false">
      <c r="A247" s="48" t="s">
        <v>392</v>
      </c>
      <c r="B247" s="48" t="s">
        <v>64</v>
      </c>
      <c r="C247" s="48" t="s">
        <v>634</v>
      </c>
    </row>
    <row r="248" customFormat="false" ht="15.75" hidden="false" customHeight="false" outlineLevel="0" collapsed="false">
      <c r="A248" s="48" t="s">
        <v>392</v>
      </c>
      <c r="B248" s="48" t="s">
        <v>64</v>
      </c>
      <c r="C248" s="48" t="s">
        <v>635</v>
      </c>
    </row>
    <row r="249" customFormat="false" ht="15.75" hidden="false" customHeight="false" outlineLevel="0" collapsed="false">
      <c r="A249" s="48" t="s">
        <v>392</v>
      </c>
      <c r="B249" s="48" t="s">
        <v>64</v>
      </c>
      <c r="C249" s="48" t="s">
        <v>636</v>
      </c>
    </row>
    <row r="250" customFormat="false" ht="15.75" hidden="false" customHeight="false" outlineLevel="0" collapsed="false">
      <c r="A250" s="48" t="s">
        <v>392</v>
      </c>
      <c r="B250" s="48" t="s">
        <v>64</v>
      </c>
      <c r="C250" s="48" t="s">
        <v>637</v>
      </c>
    </row>
    <row r="251" customFormat="false" ht="15.75" hidden="false" customHeight="false" outlineLevel="0" collapsed="false">
      <c r="A251" s="48" t="s">
        <v>392</v>
      </c>
      <c r="B251" s="48" t="s">
        <v>64</v>
      </c>
      <c r="C251" s="48" t="s">
        <v>638</v>
      </c>
    </row>
    <row r="252" customFormat="false" ht="15.75" hidden="false" customHeight="false" outlineLevel="0" collapsed="false">
      <c r="A252" s="48" t="s">
        <v>392</v>
      </c>
      <c r="B252" s="48" t="s">
        <v>64</v>
      </c>
      <c r="C252" s="48" t="s">
        <v>639</v>
      </c>
    </row>
    <row r="253" customFormat="false" ht="15.75" hidden="false" customHeight="false" outlineLevel="0" collapsed="false">
      <c r="A253" s="48" t="s">
        <v>392</v>
      </c>
      <c r="B253" s="48" t="s">
        <v>64</v>
      </c>
      <c r="C253" s="48" t="s">
        <v>640</v>
      </c>
    </row>
    <row r="254" customFormat="false" ht="15.75" hidden="false" customHeight="false" outlineLevel="0" collapsed="false">
      <c r="A254" s="48" t="s">
        <v>392</v>
      </c>
      <c r="B254" s="48" t="s">
        <v>64</v>
      </c>
      <c r="C254" s="48" t="s">
        <v>641</v>
      </c>
    </row>
    <row r="255" customFormat="false" ht="15.75" hidden="false" customHeight="false" outlineLevel="0" collapsed="false">
      <c r="A255" s="48" t="s">
        <v>392</v>
      </c>
      <c r="B255" s="48" t="s">
        <v>64</v>
      </c>
      <c r="C255" s="48" t="s">
        <v>642</v>
      </c>
    </row>
    <row r="256" customFormat="false" ht="15.75" hidden="false" customHeight="false" outlineLevel="0" collapsed="false">
      <c r="A256" s="48" t="s">
        <v>643</v>
      </c>
      <c r="B256" s="48" t="s">
        <v>97</v>
      </c>
      <c r="C256" s="48" t="s">
        <v>644</v>
      </c>
    </row>
    <row r="257" customFormat="false" ht="15.75" hidden="false" customHeight="false" outlineLevel="0" collapsed="false">
      <c r="A257" s="48" t="s">
        <v>643</v>
      </c>
      <c r="B257" s="48" t="s">
        <v>97</v>
      </c>
      <c r="C257" s="48" t="s">
        <v>645</v>
      </c>
    </row>
    <row r="258" customFormat="false" ht="15.75" hidden="false" customHeight="false" outlineLevel="0" collapsed="false">
      <c r="A258" s="48" t="s">
        <v>643</v>
      </c>
      <c r="B258" s="48" t="s">
        <v>97</v>
      </c>
      <c r="C258" s="48" t="s">
        <v>646</v>
      </c>
    </row>
    <row r="259" customFormat="false" ht="15.75" hidden="false" customHeight="false" outlineLevel="0" collapsed="false">
      <c r="A259" s="48" t="s">
        <v>643</v>
      </c>
      <c r="B259" s="48" t="s">
        <v>97</v>
      </c>
      <c r="C259" s="48" t="s">
        <v>647</v>
      </c>
    </row>
    <row r="260" customFormat="false" ht="15.75" hidden="false" customHeight="false" outlineLevel="0" collapsed="false">
      <c r="A260" s="48" t="s">
        <v>643</v>
      </c>
      <c r="B260" s="48" t="s">
        <v>97</v>
      </c>
      <c r="C260" s="48" t="s">
        <v>648</v>
      </c>
    </row>
    <row r="261" customFormat="false" ht="15.75" hidden="false" customHeight="false" outlineLevel="0" collapsed="false">
      <c r="A261" s="48" t="s">
        <v>643</v>
      </c>
      <c r="B261" s="48" t="s">
        <v>97</v>
      </c>
      <c r="C261" s="48" t="s">
        <v>649</v>
      </c>
    </row>
    <row r="262" customFormat="false" ht="15.75" hidden="false" customHeight="false" outlineLevel="0" collapsed="false">
      <c r="A262" s="48" t="s">
        <v>643</v>
      </c>
      <c r="B262" s="48" t="s">
        <v>97</v>
      </c>
      <c r="C262" s="48" t="s">
        <v>650</v>
      </c>
    </row>
    <row r="263" customFormat="false" ht="15.75" hidden="false" customHeight="false" outlineLevel="0" collapsed="false">
      <c r="A263" s="48" t="s">
        <v>643</v>
      </c>
      <c r="B263" s="48" t="s">
        <v>97</v>
      </c>
      <c r="C263" s="48" t="s">
        <v>651</v>
      </c>
    </row>
    <row r="264" customFormat="false" ht="15.75" hidden="false" customHeight="false" outlineLevel="0" collapsed="false">
      <c r="A264" s="48" t="s">
        <v>643</v>
      </c>
      <c r="B264" s="48" t="s">
        <v>97</v>
      </c>
      <c r="C264" s="48" t="s">
        <v>652</v>
      </c>
    </row>
    <row r="265" customFormat="false" ht="15.75" hidden="false" customHeight="false" outlineLevel="0" collapsed="false">
      <c r="A265" s="48" t="s">
        <v>643</v>
      </c>
      <c r="B265" s="48" t="s">
        <v>97</v>
      </c>
      <c r="C265" s="48" t="s">
        <v>653</v>
      </c>
    </row>
    <row r="266" customFormat="false" ht="15.75" hidden="false" customHeight="false" outlineLevel="0" collapsed="false">
      <c r="A266" s="48" t="s">
        <v>643</v>
      </c>
      <c r="B266" s="48" t="s">
        <v>97</v>
      </c>
      <c r="C266" s="48" t="s">
        <v>654</v>
      </c>
    </row>
    <row r="267" customFormat="false" ht="15.75" hidden="false" customHeight="false" outlineLevel="0" collapsed="false">
      <c r="A267" s="48" t="s">
        <v>643</v>
      </c>
      <c r="B267" s="48" t="s">
        <v>97</v>
      </c>
      <c r="C267" s="48" t="s">
        <v>655</v>
      </c>
    </row>
    <row r="268" customFormat="false" ht="15.75" hidden="false" customHeight="false" outlineLevel="0" collapsed="false">
      <c r="A268" s="48" t="s">
        <v>643</v>
      </c>
      <c r="B268" s="48" t="s">
        <v>97</v>
      </c>
      <c r="C268" s="48" t="s">
        <v>656</v>
      </c>
    </row>
    <row r="269" customFormat="false" ht="15.75" hidden="false" customHeight="false" outlineLevel="0" collapsed="false">
      <c r="A269" s="48" t="s">
        <v>643</v>
      </c>
      <c r="B269" s="48" t="s">
        <v>97</v>
      </c>
      <c r="C269" s="48" t="s">
        <v>657</v>
      </c>
    </row>
    <row r="270" customFormat="false" ht="15.75" hidden="false" customHeight="false" outlineLevel="0" collapsed="false">
      <c r="A270" s="48" t="s">
        <v>643</v>
      </c>
      <c r="B270" s="48" t="s">
        <v>97</v>
      </c>
      <c r="C270" s="48" t="s">
        <v>658</v>
      </c>
    </row>
    <row r="271" customFormat="false" ht="15.75" hidden="false" customHeight="false" outlineLevel="0" collapsed="false">
      <c r="A271" s="48" t="s">
        <v>643</v>
      </c>
      <c r="B271" s="48" t="s">
        <v>97</v>
      </c>
      <c r="C271" s="48" t="s">
        <v>659</v>
      </c>
    </row>
    <row r="272" customFormat="false" ht="15.75" hidden="false" customHeight="false" outlineLevel="0" collapsed="false">
      <c r="A272" s="48" t="s">
        <v>643</v>
      </c>
      <c r="B272" s="48" t="s">
        <v>97</v>
      </c>
      <c r="C272" s="48" t="s">
        <v>660</v>
      </c>
    </row>
    <row r="273" customFormat="false" ht="15.75" hidden="false" customHeight="false" outlineLevel="0" collapsed="false">
      <c r="A273" s="48" t="s">
        <v>643</v>
      </c>
      <c r="B273" s="48" t="s">
        <v>100</v>
      </c>
      <c r="C273" s="48" t="s">
        <v>661</v>
      </c>
    </row>
    <row r="274" customFormat="false" ht="15.75" hidden="false" customHeight="false" outlineLevel="0" collapsed="false">
      <c r="A274" s="48" t="s">
        <v>643</v>
      </c>
      <c r="B274" s="48" t="s">
        <v>100</v>
      </c>
      <c r="C274" s="48" t="s">
        <v>662</v>
      </c>
    </row>
    <row r="275" customFormat="false" ht="15.75" hidden="false" customHeight="false" outlineLevel="0" collapsed="false">
      <c r="A275" s="48" t="s">
        <v>643</v>
      </c>
      <c r="B275" s="48" t="s">
        <v>100</v>
      </c>
      <c r="C275" s="48" t="s">
        <v>663</v>
      </c>
    </row>
    <row r="276" customFormat="false" ht="15.75" hidden="false" customHeight="false" outlineLevel="0" collapsed="false">
      <c r="A276" s="48" t="s">
        <v>643</v>
      </c>
      <c r="B276" s="48" t="s">
        <v>100</v>
      </c>
      <c r="C276" s="48" t="s">
        <v>664</v>
      </c>
    </row>
    <row r="277" customFormat="false" ht="15.75" hidden="false" customHeight="false" outlineLevel="0" collapsed="false">
      <c r="A277" s="48" t="s">
        <v>643</v>
      </c>
      <c r="B277" s="48" t="s">
        <v>100</v>
      </c>
      <c r="C277" s="48" t="s">
        <v>665</v>
      </c>
    </row>
    <row r="278" customFormat="false" ht="15.75" hidden="false" customHeight="false" outlineLevel="0" collapsed="false">
      <c r="A278" s="48" t="s">
        <v>643</v>
      </c>
      <c r="B278" s="48" t="s">
        <v>100</v>
      </c>
      <c r="C278" s="48" t="s">
        <v>666</v>
      </c>
    </row>
    <row r="279" customFormat="false" ht="15.75" hidden="false" customHeight="false" outlineLevel="0" collapsed="false">
      <c r="A279" s="48" t="s">
        <v>643</v>
      </c>
      <c r="B279" s="48" t="s">
        <v>100</v>
      </c>
      <c r="C279" s="48" t="s">
        <v>667</v>
      </c>
    </row>
    <row r="280" customFormat="false" ht="15.75" hidden="false" customHeight="false" outlineLevel="0" collapsed="false">
      <c r="A280" s="48" t="s">
        <v>643</v>
      </c>
      <c r="B280" s="48" t="s">
        <v>100</v>
      </c>
      <c r="C280" s="48" t="s">
        <v>668</v>
      </c>
    </row>
    <row r="281" customFormat="false" ht="15.75" hidden="false" customHeight="false" outlineLevel="0" collapsed="false">
      <c r="A281" s="48" t="s">
        <v>643</v>
      </c>
      <c r="B281" s="48" t="s">
        <v>100</v>
      </c>
      <c r="C281" s="48" t="s">
        <v>669</v>
      </c>
    </row>
    <row r="282" customFormat="false" ht="15.75" hidden="false" customHeight="false" outlineLevel="0" collapsed="false">
      <c r="A282" s="48" t="s">
        <v>643</v>
      </c>
      <c r="B282" s="48" t="s">
        <v>100</v>
      </c>
      <c r="C282" s="48" t="s">
        <v>670</v>
      </c>
    </row>
    <row r="283" customFormat="false" ht="15.75" hidden="false" customHeight="false" outlineLevel="0" collapsed="false">
      <c r="A283" s="48" t="s">
        <v>643</v>
      </c>
      <c r="B283" s="48" t="s">
        <v>100</v>
      </c>
      <c r="C283" s="48" t="s">
        <v>671</v>
      </c>
    </row>
    <row r="284" customFormat="false" ht="15.75" hidden="false" customHeight="false" outlineLevel="0" collapsed="false">
      <c r="A284" s="48" t="s">
        <v>643</v>
      </c>
      <c r="B284" s="48" t="s">
        <v>100</v>
      </c>
      <c r="C284" s="48" t="s">
        <v>672</v>
      </c>
    </row>
    <row r="285" customFormat="false" ht="15.75" hidden="false" customHeight="false" outlineLevel="0" collapsed="false">
      <c r="A285" s="48" t="s">
        <v>643</v>
      </c>
      <c r="B285" s="48" t="s">
        <v>100</v>
      </c>
      <c r="C285" s="48" t="s">
        <v>673</v>
      </c>
    </row>
    <row r="286" customFormat="false" ht="15.75" hidden="false" customHeight="false" outlineLevel="0" collapsed="false">
      <c r="A286" s="48" t="s">
        <v>643</v>
      </c>
      <c r="B286" s="48" t="s">
        <v>100</v>
      </c>
      <c r="C286" s="48" t="s">
        <v>674</v>
      </c>
    </row>
    <row r="287" customFormat="false" ht="15.75" hidden="false" customHeight="false" outlineLevel="0" collapsed="false">
      <c r="A287" s="48" t="s">
        <v>643</v>
      </c>
      <c r="B287" s="48" t="s">
        <v>100</v>
      </c>
      <c r="C287" s="48" t="s">
        <v>675</v>
      </c>
    </row>
    <row r="288" customFormat="false" ht="15.75" hidden="false" customHeight="false" outlineLevel="0" collapsed="false">
      <c r="A288" s="48" t="s">
        <v>643</v>
      </c>
      <c r="B288" s="48" t="s">
        <v>100</v>
      </c>
      <c r="C288" s="48" t="s">
        <v>676</v>
      </c>
    </row>
    <row r="289" customFormat="false" ht="15.75" hidden="false" customHeight="false" outlineLevel="0" collapsed="false">
      <c r="A289" s="48" t="s">
        <v>643</v>
      </c>
      <c r="B289" s="48" t="s">
        <v>100</v>
      </c>
      <c r="C289" s="48" t="s">
        <v>677</v>
      </c>
    </row>
    <row r="290" customFormat="false" ht="15.75" hidden="false" customHeight="false" outlineLevel="0" collapsed="false">
      <c r="A290" s="48" t="s">
        <v>643</v>
      </c>
      <c r="B290" s="48" t="s">
        <v>100</v>
      </c>
      <c r="C290" s="48" t="s">
        <v>678</v>
      </c>
    </row>
    <row r="291" customFormat="false" ht="15.75" hidden="false" customHeight="false" outlineLevel="0" collapsed="false">
      <c r="A291" s="48" t="s">
        <v>643</v>
      </c>
      <c r="B291" s="48" t="s">
        <v>100</v>
      </c>
      <c r="C291" s="48" t="s">
        <v>645</v>
      </c>
    </row>
    <row r="292" customFormat="false" ht="15.75" hidden="false" customHeight="false" outlineLevel="0" collapsed="false">
      <c r="A292" s="48" t="s">
        <v>643</v>
      </c>
      <c r="B292" s="48" t="s">
        <v>100</v>
      </c>
      <c r="C292" s="48" t="s">
        <v>679</v>
      </c>
    </row>
    <row r="293" customFormat="false" ht="15.75" hidden="false" customHeight="false" outlineLevel="0" collapsed="false">
      <c r="A293" s="48" t="s">
        <v>643</v>
      </c>
      <c r="B293" s="48" t="s">
        <v>100</v>
      </c>
      <c r="C293" s="48" t="s">
        <v>680</v>
      </c>
    </row>
    <row r="294" customFormat="false" ht="15.75" hidden="false" customHeight="false" outlineLevel="0" collapsed="false">
      <c r="A294" s="48" t="s">
        <v>643</v>
      </c>
      <c r="B294" s="48" t="s">
        <v>100</v>
      </c>
      <c r="C294" s="48" t="s">
        <v>681</v>
      </c>
    </row>
    <row r="295" customFormat="false" ht="15.75" hidden="false" customHeight="false" outlineLevel="0" collapsed="false">
      <c r="A295" s="48" t="s">
        <v>643</v>
      </c>
      <c r="B295" s="48" t="s">
        <v>100</v>
      </c>
      <c r="C295" s="48" t="s">
        <v>682</v>
      </c>
    </row>
    <row r="296" customFormat="false" ht="15.75" hidden="false" customHeight="false" outlineLevel="0" collapsed="false">
      <c r="A296" s="48" t="s">
        <v>643</v>
      </c>
      <c r="B296" s="48" t="s">
        <v>100</v>
      </c>
      <c r="C296" s="48" t="s">
        <v>683</v>
      </c>
    </row>
    <row r="297" customFormat="false" ht="15.75" hidden="false" customHeight="false" outlineLevel="0" collapsed="false">
      <c r="A297" s="48" t="s">
        <v>643</v>
      </c>
      <c r="B297" s="48" t="s">
        <v>100</v>
      </c>
      <c r="C297" s="48" t="s">
        <v>684</v>
      </c>
    </row>
    <row r="298" customFormat="false" ht="15.75" hidden="false" customHeight="false" outlineLevel="0" collapsed="false">
      <c r="A298" s="48" t="s">
        <v>643</v>
      </c>
      <c r="B298" s="48" t="s">
        <v>100</v>
      </c>
      <c r="C298" s="48" t="s">
        <v>685</v>
      </c>
    </row>
    <row r="299" customFormat="false" ht="15.75" hidden="false" customHeight="false" outlineLevel="0" collapsed="false">
      <c r="A299" s="48" t="s">
        <v>643</v>
      </c>
      <c r="B299" s="48" t="s">
        <v>100</v>
      </c>
      <c r="C299" s="48" t="s">
        <v>686</v>
      </c>
    </row>
    <row r="300" customFormat="false" ht="15.75" hidden="false" customHeight="false" outlineLevel="0" collapsed="false">
      <c r="A300" s="48" t="s">
        <v>643</v>
      </c>
      <c r="B300" s="48" t="s">
        <v>100</v>
      </c>
      <c r="C300" s="48" t="s">
        <v>687</v>
      </c>
    </row>
    <row r="301" customFormat="false" ht="15.75" hidden="false" customHeight="false" outlineLevel="0" collapsed="false">
      <c r="A301" s="48" t="s">
        <v>643</v>
      </c>
      <c r="B301" s="48" t="s">
        <v>100</v>
      </c>
      <c r="C301" s="48" t="s">
        <v>688</v>
      </c>
    </row>
    <row r="302" customFormat="false" ht="15.75" hidden="false" customHeight="false" outlineLevel="0" collapsed="false">
      <c r="A302" s="48" t="s">
        <v>643</v>
      </c>
      <c r="B302" s="48" t="s">
        <v>100</v>
      </c>
      <c r="C302" s="48" t="s">
        <v>689</v>
      </c>
    </row>
    <row r="303" customFormat="false" ht="15.75" hidden="false" customHeight="false" outlineLevel="0" collapsed="false">
      <c r="A303" s="48" t="s">
        <v>643</v>
      </c>
      <c r="B303" s="48" t="s">
        <v>100</v>
      </c>
      <c r="C303" s="48" t="s">
        <v>690</v>
      </c>
    </row>
    <row r="304" customFormat="false" ht="15.75" hidden="false" customHeight="false" outlineLevel="0" collapsed="false">
      <c r="A304" s="48" t="s">
        <v>643</v>
      </c>
      <c r="B304" s="48" t="s">
        <v>100</v>
      </c>
      <c r="C304" s="48" t="s">
        <v>691</v>
      </c>
    </row>
    <row r="305" customFormat="false" ht="15.75" hidden="false" customHeight="false" outlineLevel="0" collapsed="false">
      <c r="A305" s="48" t="s">
        <v>643</v>
      </c>
      <c r="B305" s="48" t="s">
        <v>100</v>
      </c>
      <c r="C305" s="48" t="s">
        <v>692</v>
      </c>
    </row>
    <row r="306" customFormat="false" ht="15.75" hidden="false" customHeight="false" outlineLevel="0" collapsed="false">
      <c r="A306" s="48" t="s">
        <v>643</v>
      </c>
      <c r="B306" s="48" t="s">
        <v>100</v>
      </c>
      <c r="C306" s="48" t="s">
        <v>693</v>
      </c>
    </row>
    <row r="307" customFormat="false" ht="15.75" hidden="false" customHeight="false" outlineLevel="0" collapsed="false">
      <c r="A307" s="48" t="s">
        <v>643</v>
      </c>
      <c r="B307" s="48" t="s">
        <v>100</v>
      </c>
      <c r="C307" s="48" t="s">
        <v>694</v>
      </c>
    </row>
    <row r="308" customFormat="false" ht="15.75" hidden="false" customHeight="false" outlineLevel="0" collapsed="false">
      <c r="A308" s="48" t="s">
        <v>643</v>
      </c>
      <c r="B308" s="48" t="s">
        <v>100</v>
      </c>
      <c r="C308" s="48" t="s">
        <v>695</v>
      </c>
    </row>
    <row r="309" customFormat="false" ht="15.75" hidden="false" customHeight="false" outlineLevel="0" collapsed="false">
      <c r="A309" s="48" t="s">
        <v>643</v>
      </c>
      <c r="B309" s="48" t="s">
        <v>100</v>
      </c>
      <c r="C309" s="48" t="s">
        <v>696</v>
      </c>
    </row>
    <row r="310" customFormat="false" ht="15.75" hidden="false" customHeight="false" outlineLevel="0" collapsed="false">
      <c r="A310" s="48" t="s">
        <v>643</v>
      </c>
      <c r="B310" s="48" t="s">
        <v>100</v>
      </c>
      <c r="C310" s="48" t="s">
        <v>697</v>
      </c>
    </row>
    <row r="311" customFormat="false" ht="15.75" hidden="false" customHeight="false" outlineLevel="0" collapsed="false">
      <c r="A311" s="48" t="s">
        <v>643</v>
      </c>
      <c r="B311" s="48" t="s">
        <v>100</v>
      </c>
      <c r="C311" s="48" t="s">
        <v>698</v>
      </c>
    </row>
    <row r="312" customFormat="false" ht="15.75" hidden="false" customHeight="false" outlineLevel="0" collapsed="false">
      <c r="A312" s="48" t="s">
        <v>643</v>
      </c>
      <c r="B312" s="48" t="s">
        <v>100</v>
      </c>
      <c r="C312" s="48" t="s">
        <v>699</v>
      </c>
    </row>
    <row r="313" customFormat="false" ht="15.75" hidden="false" customHeight="false" outlineLevel="0" collapsed="false">
      <c r="A313" s="48" t="s">
        <v>643</v>
      </c>
      <c r="B313" s="48" t="s">
        <v>100</v>
      </c>
      <c r="C313" s="48" t="s">
        <v>700</v>
      </c>
    </row>
    <row r="314" customFormat="false" ht="15.75" hidden="false" customHeight="false" outlineLevel="0" collapsed="false">
      <c r="A314" s="48" t="s">
        <v>643</v>
      </c>
      <c r="B314" s="48" t="s">
        <v>100</v>
      </c>
      <c r="C314" s="48" t="s">
        <v>701</v>
      </c>
    </row>
    <row r="315" customFormat="false" ht="15.75" hidden="false" customHeight="false" outlineLevel="0" collapsed="false">
      <c r="A315" s="48" t="s">
        <v>643</v>
      </c>
      <c r="B315" s="48" t="s">
        <v>100</v>
      </c>
      <c r="C315" s="48" t="s">
        <v>702</v>
      </c>
    </row>
    <row r="316" customFormat="false" ht="15.75" hidden="false" customHeight="false" outlineLevel="0" collapsed="false">
      <c r="A316" s="48" t="s">
        <v>643</v>
      </c>
      <c r="B316" s="48" t="s">
        <v>100</v>
      </c>
      <c r="C316" s="48" t="s">
        <v>703</v>
      </c>
    </row>
    <row r="317" customFormat="false" ht="15.75" hidden="false" customHeight="false" outlineLevel="0" collapsed="false">
      <c r="A317" s="48" t="s">
        <v>643</v>
      </c>
      <c r="B317" s="48" t="s">
        <v>100</v>
      </c>
      <c r="C317" s="48" t="s">
        <v>704</v>
      </c>
    </row>
    <row r="318" customFormat="false" ht="15.75" hidden="false" customHeight="false" outlineLevel="0" collapsed="false">
      <c r="A318" s="48" t="s">
        <v>643</v>
      </c>
      <c r="B318" s="48" t="s">
        <v>100</v>
      </c>
      <c r="C318" s="48" t="s">
        <v>705</v>
      </c>
    </row>
    <row r="319" customFormat="false" ht="15.75" hidden="false" customHeight="false" outlineLevel="0" collapsed="false">
      <c r="A319" s="48" t="s">
        <v>643</v>
      </c>
      <c r="B319" s="48" t="s">
        <v>100</v>
      </c>
      <c r="C319" s="48" t="s">
        <v>706</v>
      </c>
    </row>
    <row r="320" customFormat="false" ht="15.75" hidden="false" customHeight="false" outlineLevel="0" collapsed="false">
      <c r="A320" s="48" t="s">
        <v>643</v>
      </c>
      <c r="B320" s="48" t="s">
        <v>100</v>
      </c>
      <c r="C320" s="48" t="s">
        <v>707</v>
      </c>
    </row>
    <row r="321" customFormat="false" ht="15.75" hidden="false" customHeight="false" outlineLevel="0" collapsed="false">
      <c r="A321" s="48" t="s">
        <v>643</v>
      </c>
      <c r="B321" s="48" t="s">
        <v>100</v>
      </c>
      <c r="C321" s="48" t="s">
        <v>708</v>
      </c>
    </row>
    <row r="322" customFormat="false" ht="15.75" hidden="false" customHeight="false" outlineLevel="0" collapsed="false">
      <c r="A322" s="48" t="s">
        <v>643</v>
      </c>
      <c r="B322" s="48" t="s">
        <v>100</v>
      </c>
      <c r="C322" s="48" t="s">
        <v>709</v>
      </c>
    </row>
    <row r="323" customFormat="false" ht="15.75" hidden="false" customHeight="false" outlineLevel="0" collapsed="false">
      <c r="A323" s="48" t="s">
        <v>643</v>
      </c>
      <c r="B323" s="48" t="s">
        <v>100</v>
      </c>
      <c r="C323" s="48" t="s">
        <v>710</v>
      </c>
    </row>
    <row r="324" customFormat="false" ht="15.75" hidden="false" customHeight="false" outlineLevel="0" collapsed="false">
      <c r="A324" s="48" t="s">
        <v>643</v>
      </c>
      <c r="B324" s="48" t="s">
        <v>100</v>
      </c>
      <c r="C324" s="48" t="s">
        <v>711</v>
      </c>
    </row>
    <row r="325" customFormat="false" ht="15.75" hidden="false" customHeight="false" outlineLevel="0" collapsed="false">
      <c r="A325" s="48" t="s">
        <v>643</v>
      </c>
      <c r="B325" s="48" t="s">
        <v>100</v>
      </c>
      <c r="C325" s="48" t="s">
        <v>712</v>
      </c>
    </row>
    <row r="326" customFormat="false" ht="15.75" hidden="false" customHeight="false" outlineLevel="0" collapsed="false">
      <c r="A326" s="48" t="s">
        <v>643</v>
      </c>
      <c r="B326" s="48" t="s">
        <v>100</v>
      </c>
      <c r="C326" s="48" t="s">
        <v>713</v>
      </c>
    </row>
    <row r="327" customFormat="false" ht="15.75" hidden="false" customHeight="false" outlineLevel="0" collapsed="false">
      <c r="A327" s="48" t="s">
        <v>643</v>
      </c>
      <c r="B327" s="48" t="s">
        <v>100</v>
      </c>
      <c r="C327" s="48" t="s">
        <v>714</v>
      </c>
    </row>
    <row r="328" customFormat="false" ht="15.75" hidden="false" customHeight="false" outlineLevel="0" collapsed="false">
      <c r="A328" s="48" t="s">
        <v>643</v>
      </c>
      <c r="B328" s="48" t="s">
        <v>100</v>
      </c>
      <c r="C328" s="48" t="s">
        <v>715</v>
      </c>
    </row>
    <row r="329" customFormat="false" ht="15.75" hidden="false" customHeight="false" outlineLevel="0" collapsed="false">
      <c r="A329" s="48" t="s">
        <v>643</v>
      </c>
      <c r="B329" s="48" t="s">
        <v>100</v>
      </c>
      <c r="C329" s="48" t="s">
        <v>716</v>
      </c>
    </row>
    <row r="330" customFormat="false" ht="15.75" hidden="false" customHeight="false" outlineLevel="0" collapsed="false">
      <c r="A330" s="48" t="s">
        <v>643</v>
      </c>
      <c r="B330" s="48" t="s">
        <v>100</v>
      </c>
      <c r="C330" s="48" t="s">
        <v>717</v>
      </c>
    </row>
    <row r="331" customFormat="false" ht="15.75" hidden="false" customHeight="false" outlineLevel="0" collapsed="false">
      <c r="A331" s="48" t="s">
        <v>643</v>
      </c>
      <c r="B331" s="48" t="s">
        <v>100</v>
      </c>
      <c r="C331" s="48" t="s">
        <v>718</v>
      </c>
    </row>
    <row r="332" customFormat="false" ht="15.75" hidden="false" customHeight="false" outlineLevel="0" collapsed="false">
      <c r="A332" s="48" t="s">
        <v>643</v>
      </c>
      <c r="B332" s="48" t="s">
        <v>100</v>
      </c>
      <c r="C332" s="48" t="s">
        <v>719</v>
      </c>
    </row>
    <row r="333" customFormat="false" ht="15.75" hidden="false" customHeight="false" outlineLevel="0" collapsed="false">
      <c r="A333" s="48" t="s">
        <v>643</v>
      </c>
      <c r="B333" s="48" t="s">
        <v>100</v>
      </c>
      <c r="C333" s="48" t="s">
        <v>720</v>
      </c>
    </row>
    <row r="334" customFormat="false" ht="15.75" hidden="false" customHeight="false" outlineLevel="0" collapsed="false">
      <c r="A334" s="48" t="s">
        <v>643</v>
      </c>
      <c r="B334" s="48" t="s">
        <v>100</v>
      </c>
      <c r="C334" s="48" t="s">
        <v>721</v>
      </c>
    </row>
    <row r="335" customFormat="false" ht="15.75" hidden="false" customHeight="false" outlineLevel="0" collapsed="false">
      <c r="A335" s="48" t="s">
        <v>643</v>
      </c>
      <c r="B335" s="48" t="s">
        <v>100</v>
      </c>
      <c r="C335" s="48" t="s">
        <v>722</v>
      </c>
    </row>
    <row r="336" customFormat="false" ht="15.75" hidden="false" customHeight="false" outlineLevel="0" collapsed="false">
      <c r="A336" s="48" t="s">
        <v>643</v>
      </c>
      <c r="B336" s="48" t="s">
        <v>100</v>
      </c>
      <c r="C336" s="48" t="s">
        <v>723</v>
      </c>
    </row>
    <row r="337" customFormat="false" ht="15.75" hidden="false" customHeight="false" outlineLevel="0" collapsed="false">
      <c r="A337" s="48" t="s">
        <v>643</v>
      </c>
      <c r="B337" s="48" t="s">
        <v>100</v>
      </c>
      <c r="C337" s="48" t="s">
        <v>724</v>
      </c>
    </row>
    <row r="338" customFormat="false" ht="15.75" hidden="false" customHeight="false" outlineLevel="0" collapsed="false">
      <c r="A338" s="48" t="s">
        <v>643</v>
      </c>
      <c r="B338" s="48" t="s">
        <v>100</v>
      </c>
      <c r="C338" s="48" t="s">
        <v>725</v>
      </c>
    </row>
    <row r="339" customFormat="false" ht="15.75" hidden="false" customHeight="false" outlineLevel="0" collapsed="false">
      <c r="A339" s="48" t="s">
        <v>643</v>
      </c>
      <c r="B339" s="48" t="s">
        <v>100</v>
      </c>
      <c r="C339" s="48" t="s">
        <v>726</v>
      </c>
    </row>
    <row r="340" customFormat="false" ht="15.75" hidden="false" customHeight="false" outlineLevel="0" collapsed="false">
      <c r="A340" s="48" t="s">
        <v>643</v>
      </c>
      <c r="B340" s="48" t="s">
        <v>100</v>
      </c>
      <c r="C340" s="48" t="s">
        <v>727</v>
      </c>
    </row>
    <row r="341" customFormat="false" ht="15.75" hidden="false" customHeight="false" outlineLevel="0" collapsed="false">
      <c r="A341" s="48" t="s">
        <v>643</v>
      </c>
      <c r="B341" s="48" t="s">
        <v>100</v>
      </c>
      <c r="C341" s="48" t="s">
        <v>728</v>
      </c>
    </row>
    <row r="342" customFormat="false" ht="15.75" hidden="false" customHeight="false" outlineLevel="0" collapsed="false">
      <c r="A342" s="48" t="s">
        <v>643</v>
      </c>
      <c r="B342" s="48" t="s">
        <v>100</v>
      </c>
      <c r="C342" s="48" t="s">
        <v>729</v>
      </c>
    </row>
    <row r="343" customFormat="false" ht="15.75" hidden="false" customHeight="false" outlineLevel="0" collapsed="false">
      <c r="A343" s="48" t="s">
        <v>643</v>
      </c>
      <c r="B343" s="48" t="s">
        <v>100</v>
      </c>
      <c r="C343" s="48" t="s">
        <v>730</v>
      </c>
    </row>
    <row r="344" customFormat="false" ht="15.75" hidden="false" customHeight="false" outlineLevel="0" collapsed="false">
      <c r="A344" s="48" t="s">
        <v>643</v>
      </c>
      <c r="B344" s="48" t="s">
        <v>100</v>
      </c>
      <c r="C344" s="48" t="s">
        <v>731</v>
      </c>
    </row>
    <row r="345" customFormat="false" ht="15.75" hidden="false" customHeight="false" outlineLevel="0" collapsed="false">
      <c r="A345" s="48" t="s">
        <v>643</v>
      </c>
      <c r="B345" s="48" t="s">
        <v>100</v>
      </c>
      <c r="C345" s="48" t="s">
        <v>732</v>
      </c>
    </row>
    <row r="346" customFormat="false" ht="15.75" hidden="false" customHeight="false" outlineLevel="0" collapsed="false">
      <c r="A346" s="48" t="s">
        <v>643</v>
      </c>
      <c r="B346" s="48" t="s">
        <v>100</v>
      </c>
      <c r="C346" s="48" t="s">
        <v>733</v>
      </c>
    </row>
    <row r="347" customFormat="false" ht="15.75" hidden="false" customHeight="false" outlineLevel="0" collapsed="false">
      <c r="A347" s="48" t="s">
        <v>643</v>
      </c>
      <c r="B347" s="48" t="s">
        <v>100</v>
      </c>
      <c r="C347" s="48" t="s">
        <v>734</v>
      </c>
    </row>
    <row r="348" customFormat="false" ht="15.75" hidden="false" customHeight="false" outlineLevel="0" collapsed="false">
      <c r="A348" s="48" t="s">
        <v>643</v>
      </c>
      <c r="B348" s="48" t="s">
        <v>100</v>
      </c>
      <c r="C348" s="48" t="s">
        <v>735</v>
      </c>
    </row>
    <row r="349" customFormat="false" ht="15.75" hidden="false" customHeight="false" outlineLevel="0" collapsed="false">
      <c r="A349" s="48" t="s">
        <v>643</v>
      </c>
      <c r="B349" s="48" t="s">
        <v>100</v>
      </c>
      <c r="C349" s="48" t="s">
        <v>736</v>
      </c>
    </row>
    <row r="350" customFormat="false" ht="15.75" hidden="false" customHeight="false" outlineLevel="0" collapsed="false">
      <c r="A350" s="48" t="s">
        <v>643</v>
      </c>
      <c r="B350" s="48" t="s">
        <v>100</v>
      </c>
      <c r="C350" s="48" t="s">
        <v>737</v>
      </c>
    </row>
    <row r="351" customFormat="false" ht="15.75" hidden="false" customHeight="false" outlineLevel="0" collapsed="false">
      <c r="A351" s="48" t="s">
        <v>643</v>
      </c>
      <c r="B351" s="48" t="s">
        <v>100</v>
      </c>
      <c r="C351" s="48" t="s">
        <v>738</v>
      </c>
    </row>
    <row r="352" customFormat="false" ht="15.75" hidden="false" customHeight="false" outlineLevel="0" collapsed="false">
      <c r="A352" s="48" t="s">
        <v>643</v>
      </c>
      <c r="B352" s="48" t="s">
        <v>100</v>
      </c>
      <c r="C352" s="48" t="s">
        <v>739</v>
      </c>
    </row>
    <row r="353" customFormat="false" ht="15.75" hidden="false" customHeight="false" outlineLevel="0" collapsed="false">
      <c r="A353" s="48" t="s">
        <v>643</v>
      </c>
      <c r="B353" s="48" t="s">
        <v>100</v>
      </c>
      <c r="C353" s="48" t="s">
        <v>740</v>
      </c>
    </row>
    <row r="354" customFormat="false" ht="15.75" hidden="false" customHeight="false" outlineLevel="0" collapsed="false">
      <c r="A354" s="48" t="s">
        <v>643</v>
      </c>
      <c r="B354" s="48" t="s">
        <v>100</v>
      </c>
      <c r="C354" s="48" t="s">
        <v>649</v>
      </c>
    </row>
    <row r="355" customFormat="false" ht="15.75" hidden="false" customHeight="false" outlineLevel="0" collapsed="false">
      <c r="A355" s="48" t="s">
        <v>643</v>
      </c>
      <c r="B355" s="48" t="s">
        <v>100</v>
      </c>
      <c r="C355" s="48" t="s">
        <v>741</v>
      </c>
    </row>
    <row r="356" customFormat="false" ht="15.75" hidden="false" customHeight="false" outlineLevel="0" collapsed="false">
      <c r="A356" s="48" t="s">
        <v>643</v>
      </c>
      <c r="B356" s="48" t="s">
        <v>100</v>
      </c>
      <c r="C356" s="48" t="s">
        <v>742</v>
      </c>
    </row>
    <row r="357" customFormat="false" ht="15.75" hidden="false" customHeight="false" outlineLevel="0" collapsed="false">
      <c r="A357" s="48" t="s">
        <v>643</v>
      </c>
      <c r="B357" s="48" t="s">
        <v>100</v>
      </c>
      <c r="C357" s="48" t="s">
        <v>743</v>
      </c>
    </row>
    <row r="358" customFormat="false" ht="15.75" hidden="false" customHeight="false" outlineLevel="0" collapsed="false">
      <c r="A358" s="48" t="s">
        <v>643</v>
      </c>
      <c r="B358" s="48" t="s">
        <v>100</v>
      </c>
      <c r="C358" s="48" t="s">
        <v>744</v>
      </c>
    </row>
    <row r="359" customFormat="false" ht="15.75" hidden="false" customHeight="false" outlineLevel="0" collapsed="false">
      <c r="A359" s="48" t="s">
        <v>643</v>
      </c>
      <c r="B359" s="48" t="s">
        <v>100</v>
      </c>
      <c r="C359" s="48" t="s">
        <v>745</v>
      </c>
    </row>
    <row r="360" customFormat="false" ht="15.75" hidden="false" customHeight="false" outlineLevel="0" collapsed="false">
      <c r="A360" s="48" t="s">
        <v>643</v>
      </c>
      <c r="B360" s="48" t="s">
        <v>100</v>
      </c>
      <c r="C360" s="48" t="s">
        <v>746</v>
      </c>
    </row>
    <row r="361" customFormat="false" ht="15.75" hidden="false" customHeight="false" outlineLevel="0" collapsed="false">
      <c r="A361" s="48" t="s">
        <v>643</v>
      </c>
      <c r="B361" s="48" t="s">
        <v>100</v>
      </c>
      <c r="C361" s="48" t="s">
        <v>747</v>
      </c>
    </row>
    <row r="362" customFormat="false" ht="15.75" hidden="false" customHeight="false" outlineLevel="0" collapsed="false">
      <c r="A362" s="48" t="s">
        <v>643</v>
      </c>
      <c r="B362" s="48" t="s">
        <v>100</v>
      </c>
      <c r="C362" s="48" t="s">
        <v>748</v>
      </c>
    </row>
    <row r="363" customFormat="false" ht="15.75" hidden="false" customHeight="false" outlineLevel="0" collapsed="false">
      <c r="A363" s="48" t="s">
        <v>643</v>
      </c>
      <c r="B363" s="48" t="s">
        <v>100</v>
      </c>
      <c r="C363" s="48" t="s">
        <v>749</v>
      </c>
    </row>
    <row r="364" customFormat="false" ht="15.75" hidden="false" customHeight="false" outlineLevel="0" collapsed="false">
      <c r="A364" s="48" t="s">
        <v>643</v>
      </c>
      <c r="B364" s="48" t="s">
        <v>100</v>
      </c>
      <c r="C364" s="48" t="s">
        <v>750</v>
      </c>
    </row>
    <row r="365" customFormat="false" ht="15.75" hidden="false" customHeight="false" outlineLevel="0" collapsed="false">
      <c r="A365" s="48" t="s">
        <v>643</v>
      </c>
      <c r="B365" s="48" t="s">
        <v>100</v>
      </c>
      <c r="C365" s="48" t="s">
        <v>751</v>
      </c>
    </row>
    <row r="366" customFormat="false" ht="15.75" hidden="false" customHeight="false" outlineLevel="0" collapsed="false">
      <c r="A366" s="48" t="s">
        <v>643</v>
      </c>
      <c r="B366" s="48" t="s">
        <v>100</v>
      </c>
      <c r="C366" s="48" t="s">
        <v>752</v>
      </c>
    </row>
    <row r="367" customFormat="false" ht="15.75" hidden="false" customHeight="false" outlineLevel="0" collapsed="false">
      <c r="A367" s="48" t="s">
        <v>643</v>
      </c>
      <c r="B367" s="48" t="s">
        <v>100</v>
      </c>
      <c r="C367" s="48" t="s">
        <v>753</v>
      </c>
    </row>
    <row r="368" customFormat="false" ht="15.75" hidden="false" customHeight="false" outlineLevel="0" collapsed="false">
      <c r="A368" s="48" t="s">
        <v>643</v>
      </c>
      <c r="B368" s="48" t="s">
        <v>100</v>
      </c>
      <c r="C368" s="48" t="s">
        <v>754</v>
      </c>
    </row>
    <row r="369" customFormat="false" ht="15.75" hidden="false" customHeight="false" outlineLevel="0" collapsed="false">
      <c r="A369" s="48" t="s">
        <v>643</v>
      </c>
      <c r="B369" s="48" t="s">
        <v>100</v>
      </c>
      <c r="C369" s="48" t="s">
        <v>755</v>
      </c>
    </row>
    <row r="370" customFormat="false" ht="15.75" hidden="false" customHeight="false" outlineLevel="0" collapsed="false">
      <c r="A370" s="48" t="s">
        <v>643</v>
      </c>
      <c r="B370" s="48" t="s">
        <v>100</v>
      </c>
      <c r="C370" s="48" t="s">
        <v>756</v>
      </c>
    </row>
    <row r="371" customFormat="false" ht="15.75" hidden="false" customHeight="false" outlineLevel="0" collapsed="false">
      <c r="A371" s="48" t="s">
        <v>643</v>
      </c>
      <c r="B371" s="48" t="s">
        <v>100</v>
      </c>
      <c r="C371" s="48" t="s">
        <v>757</v>
      </c>
    </row>
    <row r="372" customFormat="false" ht="15.75" hidden="false" customHeight="false" outlineLevel="0" collapsed="false">
      <c r="A372" s="48" t="s">
        <v>643</v>
      </c>
      <c r="B372" s="48" t="s">
        <v>100</v>
      </c>
      <c r="C372" s="48" t="s">
        <v>758</v>
      </c>
    </row>
    <row r="373" customFormat="false" ht="15.75" hidden="false" customHeight="false" outlineLevel="0" collapsed="false">
      <c r="A373" s="48" t="s">
        <v>643</v>
      </c>
      <c r="B373" s="48" t="s">
        <v>100</v>
      </c>
      <c r="C373" s="48" t="s">
        <v>759</v>
      </c>
    </row>
    <row r="374" customFormat="false" ht="15.75" hidden="false" customHeight="false" outlineLevel="0" collapsed="false">
      <c r="A374" s="48" t="s">
        <v>643</v>
      </c>
      <c r="B374" s="48" t="s">
        <v>100</v>
      </c>
      <c r="C374" s="48" t="s">
        <v>760</v>
      </c>
    </row>
    <row r="375" customFormat="false" ht="15.75" hidden="false" customHeight="false" outlineLevel="0" collapsed="false">
      <c r="A375" s="48" t="s">
        <v>643</v>
      </c>
      <c r="B375" s="48" t="s">
        <v>100</v>
      </c>
      <c r="C375" s="48" t="s">
        <v>761</v>
      </c>
    </row>
    <row r="376" customFormat="false" ht="15.75" hidden="false" customHeight="false" outlineLevel="0" collapsed="false">
      <c r="A376" s="48" t="s">
        <v>643</v>
      </c>
      <c r="B376" s="48" t="s">
        <v>100</v>
      </c>
      <c r="C376" s="48" t="s">
        <v>762</v>
      </c>
    </row>
    <row r="377" customFormat="false" ht="15.75" hidden="false" customHeight="false" outlineLevel="0" collapsed="false">
      <c r="A377" s="48" t="s">
        <v>643</v>
      </c>
      <c r="B377" s="48" t="s">
        <v>100</v>
      </c>
      <c r="C377" s="48" t="s">
        <v>763</v>
      </c>
    </row>
    <row r="378" customFormat="false" ht="15.75" hidden="false" customHeight="false" outlineLevel="0" collapsed="false">
      <c r="A378" s="48" t="s">
        <v>643</v>
      </c>
      <c r="B378" s="48" t="s">
        <v>100</v>
      </c>
      <c r="C378" s="48" t="s">
        <v>764</v>
      </c>
    </row>
    <row r="379" customFormat="false" ht="15.75" hidden="false" customHeight="false" outlineLevel="0" collapsed="false">
      <c r="A379" s="48" t="s">
        <v>643</v>
      </c>
      <c r="B379" s="48" t="s">
        <v>100</v>
      </c>
      <c r="C379" s="48" t="s">
        <v>765</v>
      </c>
    </row>
    <row r="380" customFormat="false" ht="15.75" hidden="false" customHeight="false" outlineLevel="0" collapsed="false">
      <c r="A380" s="48" t="s">
        <v>643</v>
      </c>
      <c r="B380" s="48" t="s">
        <v>100</v>
      </c>
      <c r="C380" s="48" t="s">
        <v>766</v>
      </c>
    </row>
    <row r="381" customFormat="false" ht="15.75" hidden="false" customHeight="false" outlineLevel="0" collapsed="false">
      <c r="A381" s="48" t="s">
        <v>643</v>
      </c>
      <c r="B381" s="48" t="s">
        <v>100</v>
      </c>
      <c r="C381" s="48" t="s">
        <v>767</v>
      </c>
    </row>
    <row r="382" customFormat="false" ht="15.75" hidden="false" customHeight="false" outlineLevel="0" collapsed="false">
      <c r="A382" s="48" t="s">
        <v>643</v>
      </c>
      <c r="B382" s="48" t="s">
        <v>100</v>
      </c>
      <c r="C382" s="48" t="s">
        <v>768</v>
      </c>
    </row>
    <row r="383" customFormat="false" ht="15.75" hidden="false" customHeight="false" outlineLevel="0" collapsed="false">
      <c r="A383" s="48" t="s">
        <v>643</v>
      </c>
      <c r="B383" s="48" t="s">
        <v>100</v>
      </c>
      <c r="C383" s="48" t="s">
        <v>769</v>
      </c>
    </row>
    <row r="384" customFormat="false" ht="15.75" hidden="false" customHeight="false" outlineLevel="0" collapsed="false">
      <c r="A384" s="48" t="s">
        <v>643</v>
      </c>
      <c r="B384" s="48" t="s">
        <v>100</v>
      </c>
      <c r="C384" s="48" t="s">
        <v>770</v>
      </c>
    </row>
    <row r="385" customFormat="false" ht="15.75" hidden="false" customHeight="false" outlineLevel="0" collapsed="false">
      <c r="A385" s="48" t="s">
        <v>643</v>
      </c>
      <c r="B385" s="48" t="s">
        <v>100</v>
      </c>
      <c r="C385" s="48" t="s">
        <v>771</v>
      </c>
    </row>
    <row r="386" customFormat="false" ht="15.75" hidden="false" customHeight="false" outlineLevel="0" collapsed="false">
      <c r="A386" s="48" t="s">
        <v>643</v>
      </c>
      <c r="B386" s="48" t="s">
        <v>100</v>
      </c>
      <c r="C386" s="48" t="s">
        <v>772</v>
      </c>
    </row>
    <row r="387" customFormat="false" ht="15.75" hidden="false" customHeight="false" outlineLevel="0" collapsed="false">
      <c r="A387" s="48" t="s">
        <v>643</v>
      </c>
      <c r="B387" s="48" t="s">
        <v>100</v>
      </c>
      <c r="C387" s="48" t="s">
        <v>773</v>
      </c>
    </row>
    <row r="388" customFormat="false" ht="15.75" hidden="false" customHeight="false" outlineLevel="0" collapsed="false">
      <c r="A388" s="48" t="s">
        <v>643</v>
      </c>
      <c r="B388" s="48" t="s">
        <v>100</v>
      </c>
      <c r="C388" s="48" t="s">
        <v>774</v>
      </c>
    </row>
    <row r="389" customFormat="false" ht="15.75" hidden="false" customHeight="false" outlineLevel="0" collapsed="false">
      <c r="A389" s="48" t="s">
        <v>643</v>
      </c>
      <c r="B389" s="48" t="s">
        <v>100</v>
      </c>
      <c r="C389" s="48" t="s">
        <v>775</v>
      </c>
    </row>
    <row r="390" customFormat="false" ht="15.75" hidden="false" customHeight="false" outlineLevel="0" collapsed="false">
      <c r="A390" s="48" t="s">
        <v>643</v>
      </c>
      <c r="B390" s="48" t="s">
        <v>100</v>
      </c>
      <c r="C390" s="48" t="s">
        <v>776</v>
      </c>
    </row>
    <row r="391" customFormat="false" ht="15.75" hidden="false" customHeight="false" outlineLevel="0" collapsed="false">
      <c r="A391" s="48" t="s">
        <v>643</v>
      </c>
      <c r="B391" s="48" t="s">
        <v>100</v>
      </c>
      <c r="C391" s="48" t="s">
        <v>777</v>
      </c>
    </row>
    <row r="392" customFormat="false" ht="15.75" hidden="false" customHeight="false" outlineLevel="0" collapsed="false">
      <c r="A392" s="48" t="s">
        <v>643</v>
      </c>
      <c r="B392" s="48" t="s">
        <v>100</v>
      </c>
      <c r="C392" s="48" t="s">
        <v>778</v>
      </c>
    </row>
    <row r="393" customFormat="false" ht="15.75" hidden="false" customHeight="false" outlineLevel="0" collapsed="false">
      <c r="A393" s="48" t="s">
        <v>643</v>
      </c>
      <c r="B393" s="48" t="s">
        <v>100</v>
      </c>
      <c r="C393" s="48" t="s">
        <v>779</v>
      </c>
    </row>
    <row r="394" customFormat="false" ht="15.75" hidden="false" customHeight="false" outlineLevel="0" collapsed="false">
      <c r="A394" s="48" t="s">
        <v>643</v>
      </c>
      <c r="B394" s="48" t="s">
        <v>100</v>
      </c>
      <c r="C394" s="48" t="s">
        <v>780</v>
      </c>
    </row>
    <row r="395" customFormat="false" ht="15.75" hidden="false" customHeight="false" outlineLevel="0" collapsed="false">
      <c r="A395" s="48" t="s">
        <v>643</v>
      </c>
      <c r="B395" s="48" t="s">
        <v>100</v>
      </c>
      <c r="C395" s="48" t="s">
        <v>781</v>
      </c>
    </row>
    <row r="396" customFormat="false" ht="15.75" hidden="false" customHeight="false" outlineLevel="0" collapsed="false">
      <c r="A396" s="48" t="s">
        <v>643</v>
      </c>
      <c r="B396" s="48" t="s">
        <v>100</v>
      </c>
      <c r="C396" s="48" t="s">
        <v>782</v>
      </c>
    </row>
    <row r="397" customFormat="false" ht="15.75" hidden="false" customHeight="false" outlineLevel="0" collapsed="false">
      <c r="A397" s="48" t="s">
        <v>643</v>
      </c>
      <c r="B397" s="48" t="s">
        <v>100</v>
      </c>
      <c r="C397" s="48" t="s">
        <v>783</v>
      </c>
    </row>
    <row r="398" customFormat="false" ht="15.75" hidden="false" customHeight="false" outlineLevel="0" collapsed="false">
      <c r="A398" s="48" t="s">
        <v>643</v>
      </c>
      <c r="B398" s="48" t="s">
        <v>100</v>
      </c>
      <c r="C398" s="48" t="s">
        <v>784</v>
      </c>
    </row>
    <row r="399" customFormat="false" ht="15.75" hidden="false" customHeight="false" outlineLevel="0" collapsed="false">
      <c r="A399" s="48" t="s">
        <v>643</v>
      </c>
      <c r="B399" s="48" t="s">
        <v>100</v>
      </c>
      <c r="C399" s="48" t="s">
        <v>785</v>
      </c>
    </row>
    <row r="400" customFormat="false" ht="15.75" hidden="false" customHeight="false" outlineLevel="0" collapsed="false">
      <c r="A400" s="48" t="s">
        <v>643</v>
      </c>
      <c r="B400" s="48" t="s">
        <v>100</v>
      </c>
      <c r="C400" s="48" t="s">
        <v>786</v>
      </c>
    </row>
    <row r="401" customFormat="false" ht="15.75" hidden="false" customHeight="false" outlineLevel="0" collapsed="false">
      <c r="A401" s="48" t="s">
        <v>643</v>
      </c>
      <c r="B401" s="48" t="s">
        <v>100</v>
      </c>
      <c r="C401" s="48" t="s">
        <v>787</v>
      </c>
    </row>
    <row r="402" customFormat="false" ht="15.75" hidden="false" customHeight="false" outlineLevel="0" collapsed="false">
      <c r="A402" s="48" t="s">
        <v>643</v>
      </c>
      <c r="B402" s="48" t="s">
        <v>100</v>
      </c>
      <c r="C402" s="48" t="s">
        <v>788</v>
      </c>
    </row>
    <row r="403" customFormat="false" ht="15.75" hidden="false" customHeight="false" outlineLevel="0" collapsed="false">
      <c r="A403" s="48" t="s">
        <v>643</v>
      </c>
      <c r="B403" s="48" t="s">
        <v>100</v>
      </c>
      <c r="C403" s="48" t="s">
        <v>789</v>
      </c>
    </row>
    <row r="404" customFormat="false" ht="15.75" hidden="false" customHeight="false" outlineLevel="0" collapsed="false">
      <c r="A404" s="48" t="s">
        <v>643</v>
      </c>
      <c r="B404" s="48" t="s">
        <v>100</v>
      </c>
      <c r="C404" s="48" t="s">
        <v>790</v>
      </c>
    </row>
    <row r="405" customFormat="false" ht="15.75" hidden="false" customHeight="false" outlineLevel="0" collapsed="false">
      <c r="A405" s="48" t="s">
        <v>643</v>
      </c>
      <c r="B405" s="48" t="s">
        <v>100</v>
      </c>
      <c r="C405" s="48" t="s">
        <v>791</v>
      </c>
    </row>
    <row r="406" customFormat="false" ht="15.75" hidden="false" customHeight="false" outlineLevel="0" collapsed="false">
      <c r="A406" s="48" t="s">
        <v>643</v>
      </c>
      <c r="B406" s="48" t="s">
        <v>100</v>
      </c>
      <c r="C406" s="48" t="s">
        <v>792</v>
      </c>
    </row>
    <row r="407" customFormat="false" ht="15.75" hidden="false" customHeight="false" outlineLevel="0" collapsed="false">
      <c r="A407" s="48" t="s">
        <v>643</v>
      </c>
      <c r="B407" s="48" t="s">
        <v>100</v>
      </c>
      <c r="C407" s="48" t="s">
        <v>793</v>
      </c>
    </row>
    <row r="408" customFormat="false" ht="15.75" hidden="false" customHeight="false" outlineLevel="0" collapsed="false">
      <c r="A408" s="48" t="s">
        <v>643</v>
      </c>
      <c r="B408" s="48" t="s">
        <v>100</v>
      </c>
      <c r="C408" s="48" t="s">
        <v>794</v>
      </c>
    </row>
    <row r="409" customFormat="false" ht="15.75" hidden="false" customHeight="false" outlineLevel="0" collapsed="false">
      <c r="A409" s="48" t="s">
        <v>643</v>
      </c>
      <c r="B409" s="48" t="s">
        <v>100</v>
      </c>
      <c r="C409" s="48" t="s">
        <v>795</v>
      </c>
    </row>
    <row r="410" customFormat="false" ht="15.75" hidden="false" customHeight="false" outlineLevel="0" collapsed="false">
      <c r="A410" s="48" t="s">
        <v>643</v>
      </c>
      <c r="B410" s="48" t="s">
        <v>100</v>
      </c>
      <c r="C410" s="48" t="s">
        <v>796</v>
      </c>
    </row>
    <row r="411" customFormat="false" ht="15.75" hidden="false" customHeight="false" outlineLevel="0" collapsed="false">
      <c r="A411" s="48" t="s">
        <v>643</v>
      </c>
      <c r="B411" s="48" t="s">
        <v>100</v>
      </c>
      <c r="C411" s="48" t="s">
        <v>797</v>
      </c>
    </row>
    <row r="412" customFormat="false" ht="15.75" hidden="false" customHeight="false" outlineLevel="0" collapsed="false">
      <c r="A412" s="48" t="s">
        <v>643</v>
      </c>
      <c r="B412" s="48" t="s">
        <v>100</v>
      </c>
      <c r="C412" s="48" t="s">
        <v>798</v>
      </c>
    </row>
    <row r="413" customFormat="false" ht="15.75" hidden="false" customHeight="false" outlineLevel="0" collapsed="false">
      <c r="A413" s="48" t="s">
        <v>643</v>
      </c>
      <c r="B413" s="48" t="s">
        <v>100</v>
      </c>
      <c r="C413" s="48" t="s">
        <v>799</v>
      </c>
    </row>
    <row r="414" customFormat="false" ht="15.75" hidden="false" customHeight="false" outlineLevel="0" collapsed="false">
      <c r="A414" s="48" t="s">
        <v>643</v>
      </c>
      <c r="B414" s="48" t="s">
        <v>100</v>
      </c>
      <c r="C414" s="48" t="s">
        <v>800</v>
      </c>
    </row>
    <row r="415" customFormat="false" ht="15.75" hidden="false" customHeight="false" outlineLevel="0" collapsed="false">
      <c r="A415" s="48" t="s">
        <v>643</v>
      </c>
      <c r="B415" s="48" t="s">
        <v>100</v>
      </c>
      <c r="C415" s="48" t="s">
        <v>801</v>
      </c>
    </row>
    <row r="416" customFormat="false" ht="15.75" hidden="false" customHeight="false" outlineLevel="0" collapsed="false">
      <c r="A416" s="48" t="s">
        <v>643</v>
      </c>
      <c r="B416" s="48" t="s">
        <v>100</v>
      </c>
      <c r="C416" s="48" t="s">
        <v>802</v>
      </c>
    </row>
    <row r="417" customFormat="false" ht="15.75" hidden="false" customHeight="false" outlineLevel="0" collapsed="false">
      <c r="A417" s="48" t="s">
        <v>643</v>
      </c>
      <c r="B417" s="48" t="s">
        <v>100</v>
      </c>
      <c r="C417" s="48" t="s">
        <v>803</v>
      </c>
    </row>
    <row r="418" customFormat="false" ht="15.75" hidden="false" customHeight="false" outlineLevel="0" collapsed="false">
      <c r="A418" s="48" t="s">
        <v>643</v>
      </c>
      <c r="B418" s="48" t="s">
        <v>100</v>
      </c>
      <c r="C418" s="48" t="s">
        <v>804</v>
      </c>
    </row>
    <row r="419" customFormat="false" ht="15.75" hidden="false" customHeight="false" outlineLevel="0" collapsed="false">
      <c r="A419" s="48" t="s">
        <v>643</v>
      </c>
      <c r="B419" s="48" t="s">
        <v>100</v>
      </c>
      <c r="C419" s="48" t="s">
        <v>805</v>
      </c>
    </row>
    <row r="420" customFormat="false" ht="15.75" hidden="false" customHeight="false" outlineLevel="0" collapsed="false">
      <c r="A420" s="48" t="s">
        <v>643</v>
      </c>
      <c r="B420" s="48" t="s">
        <v>100</v>
      </c>
      <c r="C420" s="48" t="s">
        <v>806</v>
      </c>
    </row>
    <row r="421" customFormat="false" ht="15.75" hidden="false" customHeight="false" outlineLevel="0" collapsed="false">
      <c r="A421" s="48" t="s">
        <v>643</v>
      </c>
      <c r="B421" s="48" t="s">
        <v>100</v>
      </c>
      <c r="C421" s="48" t="s">
        <v>807</v>
      </c>
    </row>
    <row r="422" customFormat="false" ht="15.75" hidden="false" customHeight="false" outlineLevel="0" collapsed="false">
      <c r="A422" s="48" t="s">
        <v>643</v>
      </c>
      <c r="B422" s="48" t="s">
        <v>100</v>
      </c>
      <c r="C422" s="48" t="s">
        <v>808</v>
      </c>
    </row>
    <row r="423" customFormat="false" ht="15.75" hidden="false" customHeight="false" outlineLevel="0" collapsed="false">
      <c r="A423" s="48" t="s">
        <v>643</v>
      </c>
      <c r="B423" s="48" t="s">
        <v>100</v>
      </c>
      <c r="C423" s="48" t="s">
        <v>809</v>
      </c>
    </row>
    <row r="424" customFormat="false" ht="15.75" hidden="false" customHeight="false" outlineLevel="0" collapsed="false">
      <c r="A424" s="48" t="s">
        <v>643</v>
      </c>
      <c r="B424" s="48" t="s">
        <v>100</v>
      </c>
      <c r="C424" s="48" t="s">
        <v>810</v>
      </c>
    </row>
    <row r="425" customFormat="false" ht="15.75" hidden="false" customHeight="false" outlineLevel="0" collapsed="false">
      <c r="A425" s="48" t="s">
        <v>643</v>
      </c>
      <c r="B425" s="48" t="s">
        <v>100</v>
      </c>
      <c r="C425" s="48" t="s">
        <v>811</v>
      </c>
    </row>
    <row r="426" customFormat="false" ht="15.75" hidden="false" customHeight="false" outlineLevel="0" collapsed="false">
      <c r="A426" s="48" t="s">
        <v>643</v>
      </c>
      <c r="B426" s="48" t="s">
        <v>100</v>
      </c>
      <c r="C426" s="48" t="s">
        <v>812</v>
      </c>
    </row>
    <row r="427" customFormat="false" ht="15.75" hidden="false" customHeight="false" outlineLevel="0" collapsed="false">
      <c r="A427" s="48" t="s">
        <v>643</v>
      </c>
      <c r="B427" s="48" t="s">
        <v>100</v>
      </c>
      <c r="C427" s="48" t="s">
        <v>813</v>
      </c>
    </row>
    <row r="428" customFormat="false" ht="15.75" hidden="false" customHeight="false" outlineLevel="0" collapsed="false">
      <c r="A428" s="48" t="s">
        <v>643</v>
      </c>
      <c r="B428" s="48" t="s">
        <v>100</v>
      </c>
      <c r="C428" s="48" t="s">
        <v>814</v>
      </c>
    </row>
    <row r="429" customFormat="false" ht="15.75" hidden="false" customHeight="false" outlineLevel="0" collapsed="false">
      <c r="A429" s="48" t="s">
        <v>643</v>
      </c>
      <c r="B429" s="48" t="s">
        <v>100</v>
      </c>
      <c r="C429" s="48" t="s">
        <v>815</v>
      </c>
    </row>
    <row r="430" customFormat="false" ht="15.75" hidden="false" customHeight="false" outlineLevel="0" collapsed="false">
      <c r="A430" s="48" t="s">
        <v>643</v>
      </c>
      <c r="B430" s="48" t="s">
        <v>100</v>
      </c>
      <c r="C430" s="48" t="s">
        <v>816</v>
      </c>
    </row>
    <row r="431" customFormat="false" ht="15.75" hidden="false" customHeight="false" outlineLevel="0" collapsed="false">
      <c r="A431" s="48" t="s">
        <v>643</v>
      </c>
      <c r="B431" s="48" t="s">
        <v>100</v>
      </c>
      <c r="C431" s="48" t="s">
        <v>817</v>
      </c>
    </row>
    <row r="432" customFormat="false" ht="15.75" hidden="false" customHeight="false" outlineLevel="0" collapsed="false">
      <c r="A432" s="48" t="s">
        <v>643</v>
      </c>
      <c r="B432" s="48" t="s">
        <v>100</v>
      </c>
      <c r="C432" s="48" t="s">
        <v>818</v>
      </c>
    </row>
    <row r="433" customFormat="false" ht="15.75" hidden="false" customHeight="false" outlineLevel="0" collapsed="false">
      <c r="A433" s="48" t="s">
        <v>643</v>
      </c>
      <c r="B433" s="48" t="s">
        <v>100</v>
      </c>
      <c r="C433" s="48" t="s">
        <v>819</v>
      </c>
    </row>
    <row r="434" customFormat="false" ht="15.75" hidden="false" customHeight="false" outlineLevel="0" collapsed="false">
      <c r="A434" s="48" t="s">
        <v>643</v>
      </c>
      <c r="B434" s="48" t="s">
        <v>100</v>
      </c>
      <c r="C434" s="48" t="s">
        <v>820</v>
      </c>
    </row>
    <row r="435" customFormat="false" ht="15.75" hidden="false" customHeight="false" outlineLevel="0" collapsed="false">
      <c r="A435" s="48" t="s">
        <v>643</v>
      </c>
      <c r="B435" s="48" t="s">
        <v>100</v>
      </c>
      <c r="C435" s="48" t="s">
        <v>821</v>
      </c>
    </row>
    <row r="436" customFormat="false" ht="15.75" hidden="false" customHeight="false" outlineLevel="0" collapsed="false">
      <c r="A436" s="48" t="s">
        <v>643</v>
      </c>
      <c r="B436" s="48" t="s">
        <v>100</v>
      </c>
      <c r="C436" s="48" t="s">
        <v>822</v>
      </c>
    </row>
    <row r="437" customFormat="false" ht="15.75" hidden="false" customHeight="false" outlineLevel="0" collapsed="false">
      <c r="A437" s="48" t="s">
        <v>643</v>
      </c>
      <c r="B437" s="48" t="s">
        <v>100</v>
      </c>
      <c r="C437" s="48" t="s">
        <v>823</v>
      </c>
    </row>
    <row r="438" customFormat="false" ht="15.75" hidden="false" customHeight="false" outlineLevel="0" collapsed="false">
      <c r="A438" s="48" t="s">
        <v>643</v>
      </c>
      <c r="B438" s="48" t="s">
        <v>100</v>
      </c>
      <c r="C438" s="48" t="s">
        <v>824</v>
      </c>
    </row>
    <row r="439" customFormat="false" ht="15.75" hidden="false" customHeight="false" outlineLevel="0" collapsed="false">
      <c r="A439" s="48" t="s">
        <v>643</v>
      </c>
      <c r="B439" s="48" t="s">
        <v>100</v>
      </c>
      <c r="C439" s="48" t="s">
        <v>825</v>
      </c>
    </row>
    <row r="440" customFormat="false" ht="15.75" hidden="false" customHeight="false" outlineLevel="0" collapsed="false">
      <c r="A440" s="48" t="s">
        <v>643</v>
      </c>
      <c r="B440" s="48" t="s">
        <v>100</v>
      </c>
      <c r="C440" s="48" t="s">
        <v>826</v>
      </c>
    </row>
    <row r="441" customFormat="false" ht="15.75" hidden="false" customHeight="false" outlineLevel="0" collapsed="false">
      <c r="A441" s="48" t="s">
        <v>643</v>
      </c>
      <c r="B441" s="48" t="s">
        <v>100</v>
      </c>
      <c r="C441" s="48" t="s">
        <v>827</v>
      </c>
    </row>
    <row r="442" customFormat="false" ht="15.75" hidden="false" customHeight="false" outlineLevel="0" collapsed="false">
      <c r="A442" s="48" t="s">
        <v>643</v>
      </c>
      <c r="B442" s="48" t="s">
        <v>100</v>
      </c>
      <c r="C442" s="48" t="s">
        <v>828</v>
      </c>
    </row>
    <row r="443" customFormat="false" ht="15.75" hidden="false" customHeight="false" outlineLevel="0" collapsed="false">
      <c r="A443" s="48" t="s">
        <v>643</v>
      </c>
      <c r="B443" s="48" t="s">
        <v>100</v>
      </c>
      <c r="C443" s="48" t="s">
        <v>829</v>
      </c>
    </row>
    <row r="444" customFormat="false" ht="15.75" hidden="false" customHeight="false" outlineLevel="0" collapsed="false">
      <c r="A444" s="48" t="s">
        <v>643</v>
      </c>
      <c r="B444" s="48" t="s">
        <v>100</v>
      </c>
      <c r="C444" s="48" t="s">
        <v>830</v>
      </c>
    </row>
    <row r="445" customFormat="false" ht="15.75" hidden="false" customHeight="false" outlineLevel="0" collapsed="false">
      <c r="A445" s="48" t="s">
        <v>643</v>
      </c>
      <c r="B445" s="48" t="s">
        <v>100</v>
      </c>
      <c r="C445" s="48" t="s">
        <v>831</v>
      </c>
    </row>
    <row r="446" customFormat="false" ht="15.75" hidden="false" customHeight="false" outlineLevel="0" collapsed="false">
      <c r="A446" s="48" t="s">
        <v>643</v>
      </c>
      <c r="B446" s="48" t="s">
        <v>100</v>
      </c>
      <c r="C446" s="48" t="s">
        <v>832</v>
      </c>
    </row>
    <row r="447" customFormat="false" ht="15.75" hidden="false" customHeight="false" outlineLevel="0" collapsed="false">
      <c r="A447" s="48" t="s">
        <v>643</v>
      </c>
      <c r="B447" s="48" t="s">
        <v>100</v>
      </c>
      <c r="C447" s="48" t="s">
        <v>833</v>
      </c>
    </row>
    <row r="448" customFormat="false" ht="15.75" hidden="false" customHeight="false" outlineLevel="0" collapsed="false">
      <c r="A448" s="48" t="s">
        <v>643</v>
      </c>
      <c r="B448" s="48" t="s">
        <v>100</v>
      </c>
      <c r="C448" s="48" t="s">
        <v>834</v>
      </c>
    </row>
    <row r="449" customFormat="false" ht="15.75" hidden="false" customHeight="false" outlineLevel="0" collapsed="false">
      <c r="A449" s="48" t="s">
        <v>643</v>
      </c>
      <c r="B449" s="48" t="s">
        <v>100</v>
      </c>
      <c r="C449" s="48" t="s">
        <v>835</v>
      </c>
    </row>
    <row r="450" customFormat="false" ht="15.75" hidden="false" customHeight="false" outlineLevel="0" collapsed="false">
      <c r="A450" s="48" t="s">
        <v>643</v>
      </c>
      <c r="B450" s="48" t="s">
        <v>100</v>
      </c>
      <c r="C450" s="48" t="s">
        <v>836</v>
      </c>
    </row>
    <row r="451" customFormat="false" ht="15.75" hidden="false" customHeight="false" outlineLevel="0" collapsed="false">
      <c r="A451" s="48" t="s">
        <v>643</v>
      </c>
      <c r="B451" s="48" t="s">
        <v>100</v>
      </c>
      <c r="C451" s="48" t="s">
        <v>837</v>
      </c>
    </row>
    <row r="452" customFormat="false" ht="15.75" hidden="false" customHeight="false" outlineLevel="0" collapsed="false">
      <c r="A452" s="48" t="s">
        <v>643</v>
      </c>
      <c r="B452" s="48" t="s">
        <v>100</v>
      </c>
      <c r="C452" s="48" t="s">
        <v>838</v>
      </c>
    </row>
    <row r="453" customFormat="false" ht="15.75" hidden="false" customHeight="false" outlineLevel="0" collapsed="false">
      <c r="A453" s="48" t="s">
        <v>643</v>
      </c>
      <c r="B453" s="48" t="s">
        <v>100</v>
      </c>
      <c r="C453" s="48" t="s">
        <v>839</v>
      </c>
    </row>
    <row r="454" customFormat="false" ht="15.75" hidden="false" customHeight="false" outlineLevel="0" collapsed="false">
      <c r="A454" s="48" t="s">
        <v>643</v>
      </c>
      <c r="B454" s="48" t="s">
        <v>100</v>
      </c>
      <c r="C454" s="48" t="s">
        <v>840</v>
      </c>
    </row>
    <row r="455" customFormat="false" ht="15.75" hidden="false" customHeight="false" outlineLevel="0" collapsed="false">
      <c r="A455" s="48" t="s">
        <v>643</v>
      </c>
      <c r="B455" s="48" t="s">
        <v>100</v>
      </c>
      <c r="C455" s="48" t="s">
        <v>841</v>
      </c>
    </row>
    <row r="456" customFormat="false" ht="15.75" hidden="false" customHeight="false" outlineLevel="0" collapsed="false">
      <c r="A456" s="48" t="s">
        <v>643</v>
      </c>
      <c r="B456" s="48" t="s">
        <v>100</v>
      </c>
      <c r="C456" s="48" t="s">
        <v>842</v>
      </c>
    </row>
    <row r="457" customFormat="false" ht="15.75" hidden="false" customHeight="false" outlineLevel="0" collapsed="false">
      <c r="A457" s="48" t="s">
        <v>643</v>
      </c>
      <c r="B457" s="48" t="s">
        <v>100</v>
      </c>
      <c r="C457" s="48" t="s">
        <v>843</v>
      </c>
    </row>
    <row r="458" customFormat="false" ht="15.75" hidden="false" customHeight="false" outlineLevel="0" collapsed="false">
      <c r="A458" s="48" t="s">
        <v>643</v>
      </c>
      <c r="B458" s="48" t="s">
        <v>100</v>
      </c>
      <c r="C458" s="48" t="s">
        <v>844</v>
      </c>
    </row>
    <row r="459" customFormat="false" ht="15.75" hidden="false" customHeight="false" outlineLevel="0" collapsed="false">
      <c r="A459" s="48" t="s">
        <v>643</v>
      </c>
      <c r="B459" s="48" t="s">
        <v>100</v>
      </c>
      <c r="C459" s="48" t="s">
        <v>845</v>
      </c>
    </row>
    <row r="460" customFormat="false" ht="15.75" hidden="false" customHeight="false" outlineLevel="0" collapsed="false">
      <c r="A460" s="48" t="s">
        <v>643</v>
      </c>
      <c r="B460" s="48" t="s">
        <v>100</v>
      </c>
      <c r="C460" s="48" t="s">
        <v>651</v>
      </c>
    </row>
    <row r="461" customFormat="false" ht="15.75" hidden="false" customHeight="false" outlineLevel="0" collapsed="false">
      <c r="A461" s="48" t="s">
        <v>643</v>
      </c>
      <c r="B461" s="48" t="s">
        <v>100</v>
      </c>
      <c r="C461" s="48" t="s">
        <v>846</v>
      </c>
    </row>
    <row r="462" customFormat="false" ht="15.75" hidden="false" customHeight="false" outlineLevel="0" collapsed="false">
      <c r="A462" s="48" t="s">
        <v>643</v>
      </c>
      <c r="B462" s="48" t="s">
        <v>100</v>
      </c>
      <c r="C462" s="48" t="s">
        <v>847</v>
      </c>
    </row>
    <row r="463" customFormat="false" ht="15.75" hidden="false" customHeight="false" outlineLevel="0" collapsed="false">
      <c r="A463" s="48" t="s">
        <v>643</v>
      </c>
      <c r="B463" s="48" t="s">
        <v>100</v>
      </c>
      <c r="C463" s="48" t="s">
        <v>848</v>
      </c>
    </row>
    <row r="464" customFormat="false" ht="15.75" hidden="false" customHeight="false" outlineLevel="0" collapsed="false">
      <c r="A464" s="48" t="s">
        <v>643</v>
      </c>
      <c r="B464" s="48" t="s">
        <v>100</v>
      </c>
      <c r="C464" s="48" t="s">
        <v>849</v>
      </c>
    </row>
    <row r="465" customFormat="false" ht="15.75" hidden="false" customHeight="false" outlineLevel="0" collapsed="false">
      <c r="A465" s="48" t="s">
        <v>643</v>
      </c>
      <c r="B465" s="48" t="s">
        <v>100</v>
      </c>
      <c r="C465" s="48" t="s">
        <v>850</v>
      </c>
    </row>
    <row r="466" customFormat="false" ht="15.75" hidden="false" customHeight="false" outlineLevel="0" collapsed="false">
      <c r="A466" s="48" t="s">
        <v>643</v>
      </c>
      <c r="B466" s="48" t="s">
        <v>100</v>
      </c>
      <c r="C466" s="48" t="s">
        <v>851</v>
      </c>
    </row>
    <row r="467" customFormat="false" ht="15.75" hidden="false" customHeight="false" outlineLevel="0" collapsed="false">
      <c r="A467" s="48" t="s">
        <v>643</v>
      </c>
      <c r="B467" s="48" t="s">
        <v>100</v>
      </c>
      <c r="C467" s="48" t="s">
        <v>852</v>
      </c>
    </row>
    <row r="468" customFormat="false" ht="15.75" hidden="false" customHeight="false" outlineLevel="0" collapsed="false">
      <c r="A468" s="48" t="s">
        <v>643</v>
      </c>
      <c r="B468" s="48" t="s">
        <v>100</v>
      </c>
      <c r="C468" s="48" t="s">
        <v>853</v>
      </c>
    </row>
    <row r="469" customFormat="false" ht="15.75" hidden="false" customHeight="false" outlineLevel="0" collapsed="false">
      <c r="A469" s="48" t="s">
        <v>643</v>
      </c>
      <c r="B469" s="48" t="s">
        <v>100</v>
      </c>
      <c r="C469" s="48" t="s">
        <v>854</v>
      </c>
    </row>
    <row r="470" customFormat="false" ht="15.75" hidden="false" customHeight="false" outlineLevel="0" collapsed="false">
      <c r="A470" s="48" t="s">
        <v>643</v>
      </c>
      <c r="B470" s="48" t="s">
        <v>100</v>
      </c>
      <c r="C470" s="48" t="s">
        <v>855</v>
      </c>
    </row>
    <row r="471" customFormat="false" ht="15.75" hidden="false" customHeight="false" outlineLevel="0" collapsed="false">
      <c r="A471" s="48" t="s">
        <v>643</v>
      </c>
      <c r="B471" s="48" t="s">
        <v>100</v>
      </c>
      <c r="C471" s="48" t="s">
        <v>856</v>
      </c>
    </row>
    <row r="472" customFormat="false" ht="15.75" hidden="false" customHeight="false" outlineLevel="0" collapsed="false">
      <c r="A472" s="48" t="s">
        <v>643</v>
      </c>
      <c r="B472" s="48" t="s">
        <v>100</v>
      </c>
      <c r="C472" s="48" t="s">
        <v>857</v>
      </c>
    </row>
    <row r="473" customFormat="false" ht="15.75" hidden="false" customHeight="false" outlineLevel="0" collapsed="false">
      <c r="A473" s="48" t="s">
        <v>643</v>
      </c>
      <c r="B473" s="48" t="s">
        <v>100</v>
      </c>
      <c r="C473" s="48" t="s">
        <v>858</v>
      </c>
    </row>
    <row r="474" customFormat="false" ht="15.75" hidden="false" customHeight="false" outlineLevel="0" collapsed="false">
      <c r="A474" s="48" t="s">
        <v>643</v>
      </c>
      <c r="B474" s="48" t="s">
        <v>100</v>
      </c>
      <c r="C474" s="48" t="s">
        <v>859</v>
      </c>
    </row>
    <row r="475" customFormat="false" ht="15.75" hidden="false" customHeight="false" outlineLevel="0" collapsed="false">
      <c r="A475" s="48" t="s">
        <v>643</v>
      </c>
      <c r="B475" s="48" t="s">
        <v>100</v>
      </c>
      <c r="C475" s="48" t="s">
        <v>860</v>
      </c>
    </row>
    <row r="476" customFormat="false" ht="15.75" hidden="false" customHeight="false" outlineLevel="0" collapsed="false">
      <c r="A476" s="48" t="s">
        <v>643</v>
      </c>
      <c r="B476" s="48" t="s">
        <v>100</v>
      </c>
      <c r="C476" s="48" t="s">
        <v>861</v>
      </c>
    </row>
    <row r="477" customFormat="false" ht="15.75" hidden="false" customHeight="false" outlineLevel="0" collapsed="false">
      <c r="A477" s="48" t="s">
        <v>643</v>
      </c>
      <c r="B477" s="48" t="s">
        <v>100</v>
      </c>
      <c r="C477" s="48" t="s">
        <v>862</v>
      </c>
    </row>
    <row r="478" customFormat="false" ht="15.75" hidden="false" customHeight="false" outlineLevel="0" collapsed="false">
      <c r="A478" s="48" t="s">
        <v>643</v>
      </c>
      <c r="B478" s="48" t="s">
        <v>100</v>
      </c>
      <c r="C478" s="48" t="s">
        <v>863</v>
      </c>
    </row>
    <row r="479" customFormat="false" ht="15.75" hidden="false" customHeight="false" outlineLevel="0" collapsed="false">
      <c r="A479" s="48" t="s">
        <v>643</v>
      </c>
      <c r="B479" s="48" t="s">
        <v>100</v>
      </c>
      <c r="C479" s="48" t="s">
        <v>864</v>
      </c>
    </row>
    <row r="480" customFormat="false" ht="15.75" hidden="false" customHeight="false" outlineLevel="0" collapsed="false">
      <c r="A480" s="48" t="s">
        <v>643</v>
      </c>
      <c r="B480" s="48" t="s">
        <v>100</v>
      </c>
      <c r="C480" s="48" t="s">
        <v>865</v>
      </c>
    </row>
    <row r="481" customFormat="false" ht="15.75" hidden="false" customHeight="false" outlineLevel="0" collapsed="false">
      <c r="A481" s="48" t="s">
        <v>643</v>
      </c>
      <c r="B481" s="48" t="s">
        <v>100</v>
      </c>
      <c r="C481" s="48" t="s">
        <v>652</v>
      </c>
    </row>
    <row r="482" customFormat="false" ht="15.75" hidden="false" customHeight="false" outlineLevel="0" collapsed="false">
      <c r="A482" s="48" t="s">
        <v>643</v>
      </c>
      <c r="B482" s="48" t="s">
        <v>100</v>
      </c>
      <c r="C482" s="48" t="s">
        <v>866</v>
      </c>
    </row>
    <row r="483" customFormat="false" ht="15.75" hidden="false" customHeight="false" outlineLevel="0" collapsed="false">
      <c r="A483" s="48" t="s">
        <v>643</v>
      </c>
      <c r="B483" s="48" t="s">
        <v>100</v>
      </c>
      <c r="C483" s="48" t="s">
        <v>867</v>
      </c>
    </row>
    <row r="484" customFormat="false" ht="15.75" hidden="false" customHeight="false" outlineLevel="0" collapsed="false">
      <c r="A484" s="48" t="s">
        <v>643</v>
      </c>
      <c r="B484" s="48" t="s">
        <v>100</v>
      </c>
      <c r="C484" s="48" t="s">
        <v>868</v>
      </c>
    </row>
    <row r="485" customFormat="false" ht="15.75" hidden="false" customHeight="false" outlineLevel="0" collapsed="false">
      <c r="A485" s="48" t="s">
        <v>643</v>
      </c>
      <c r="B485" s="48" t="s">
        <v>100</v>
      </c>
      <c r="C485" s="48" t="s">
        <v>869</v>
      </c>
    </row>
    <row r="486" customFormat="false" ht="15.75" hidden="false" customHeight="false" outlineLevel="0" collapsed="false">
      <c r="A486" s="48" t="s">
        <v>643</v>
      </c>
      <c r="B486" s="48" t="s">
        <v>100</v>
      </c>
      <c r="C486" s="48" t="s">
        <v>870</v>
      </c>
    </row>
    <row r="487" customFormat="false" ht="15.75" hidden="false" customHeight="false" outlineLevel="0" collapsed="false">
      <c r="A487" s="48" t="s">
        <v>643</v>
      </c>
      <c r="B487" s="48" t="s">
        <v>100</v>
      </c>
      <c r="C487" s="48" t="s">
        <v>871</v>
      </c>
    </row>
    <row r="488" customFormat="false" ht="15.75" hidden="false" customHeight="false" outlineLevel="0" collapsed="false">
      <c r="A488" s="48" t="s">
        <v>643</v>
      </c>
      <c r="B488" s="48" t="s">
        <v>100</v>
      </c>
      <c r="C488" s="48" t="s">
        <v>872</v>
      </c>
    </row>
    <row r="489" customFormat="false" ht="15.75" hidden="false" customHeight="false" outlineLevel="0" collapsed="false">
      <c r="A489" s="48" t="s">
        <v>643</v>
      </c>
      <c r="B489" s="48" t="s">
        <v>100</v>
      </c>
      <c r="C489" s="48" t="s">
        <v>873</v>
      </c>
    </row>
    <row r="490" customFormat="false" ht="15.75" hidden="false" customHeight="false" outlineLevel="0" collapsed="false">
      <c r="A490" s="48" t="s">
        <v>643</v>
      </c>
      <c r="B490" s="48" t="s">
        <v>100</v>
      </c>
      <c r="C490" s="48" t="s">
        <v>874</v>
      </c>
    </row>
    <row r="491" customFormat="false" ht="15.75" hidden="false" customHeight="false" outlineLevel="0" collapsed="false">
      <c r="A491" s="48" t="s">
        <v>643</v>
      </c>
      <c r="B491" s="48" t="s">
        <v>100</v>
      </c>
      <c r="C491" s="48" t="s">
        <v>875</v>
      </c>
    </row>
    <row r="492" customFormat="false" ht="15.75" hidden="false" customHeight="false" outlineLevel="0" collapsed="false">
      <c r="A492" s="48" t="s">
        <v>643</v>
      </c>
      <c r="B492" s="48" t="s">
        <v>100</v>
      </c>
      <c r="C492" s="48" t="s">
        <v>876</v>
      </c>
    </row>
    <row r="493" customFormat="false" ht="15.75" hidden="false" customHeight="false" outlineLevel="0" collapsed="false">
      <c r="A493" s="48" t="s">
        <v>643</v>
      </c>
      <c r="B493" s="48" t="s">
        <v>100</v>
      </c>
      <c r="C493" s="48" t="s">
        <v>877</v>
      </c>
    </row>
    <row r="494" customFormat="false" ht="15.75" hidden="false" customHeight="false" outlineLevel="0" collapsed="false">
      <c r="A494" s="48" t="s">
        <v>643</v>
      </c>
      <c r="B494" s="48" t="s">
        <v>100</v>
      </c>
      <c r="C494" s="48" t="s">
        <v>878</v>
      </c>
    </row>
    <row r="495" customFormat="false" ht="15.75" hidden="false" customHeight="false" outlineLevel="0" collapsed="false">
      <c r="A495" s="48" t="s">
        <v>643</v>
      </c>
      <c r="B495" s="48" t="s">
        <v>100</v>
      </c>
      <c r="C495" s="48" t="s">
        <v>879</v>
      </c>
    </row>
    <row r="496" customFormat="false" ht="15.75" hidden="false" customHeight="false" outlineLevel="0" collapsed="false">
      <c r="A496" s="48" t="s">
        <v>643</v>
      </c>
      <c r="B496" s="48" t="s">
        <v>100</v>
      </c>
      <c r="C496" s="48" t="s">
        <v>880</v>
      </c>
    </row>
    <row r="497" customFormat="false" ht="15.75" hidden="false" customHeight="false" outlineLevel="0" collapsed="false">
      <c r="A497" s="48" t="s">
        <v>643</v>
      </c>
      <c r="B497" s="48" t="s">
        <v>100</v>
      </c>
      <c r="C497" s="48" t="s">
        <v>881</v>
      </c>
    </row>
    <row r="498" customFormat="false" ht="15.75" hidden="false" customHeight="false" outlineLevel="0" collapsed="false">
      <c r="A498" s="48" t="s">
        <v>643</v>
      </c>
      <c r="B498" s="48" t="s">
        <v>100</v>
      </c>
      <c r="C498" s="48" t="s">
        <v>882</v>
      </c>
    </row>
    <row r="499" customFormat="false" ht="15.75" hidden="false" customHeight="false" outlineLevel="0" collapsed="false">
      <c r="A499" s="48" t="s">
        <v>643</v>
      </c>
      <c r="B499" s="48" t="s">
        <v>100</v>
      </c>
      <c r="C499" s="48" t="s">
        <v>883</v>
      </c>
    </row>
    <row r="500" customFormat="false" ht="15.75" hidden="false" customHeight="false" outlineLevel="0" collapsed="false">
      <c r="A500" s="48" t="s">
        <v>643</v>
      </c>
      <c r="B500" s="48" t="s">
        <v>100</v>
      </c>
      <c r="C500" s="48" t="s">
        <v>884</v>
      </c>
    </row>
    <row r="501" customFormat="false" ht="15.75" hidden="false" customHeight="false" outlineLevel="0" collapsed="false">
      <c r="A501" s="48" t="s">
        <v>643</v>
      </c>
      <c r="B501" s="48" t="s">
        <v>100</v>
      </c>
      <c r="C501" s="48" t="s">
        <v>885</v>
      </c>
    </row>
    <row r="502" customFormat="false" ht="15.75" hidden="false" customHeight="false" outlineLevel="0" collapsed="false">
      <c r="A502" s="48" t="s">
        <v>643</v>
      </c>
      <c r="B502" s="48" t="s">
        <v>100</v>
      </c>
      <c r="C502" s="48" t="s">
        <v>886</v>
      </c>
    </row>
    <row r="503" customFormat="false" ht="15.75" hidden="false" customHeight="false" outlineLevel="0" collapsed="false">
      <c r="A503" s="48" t="s">
        <v>643</v>
      </c>
      <c r="B503" s="48" t="s">
        <v>100</v>
      </c>
      <c r="C503" s="48" t="s">
        <v>887</v>
      </c>
    </row>
    <row r="504" customFormat="false" ht="15.75" hidden="false" customHeight="false" outlineLevel="0" collapsed="false">
      <c r="A504" s="48" t="s">
        <v>643</v>
      </c>
      <c r="B504" s="48" t="s">
        <v>100</v>
      </c>
      <c r="C504" s="48" t="s">
        <v>888</v>
      </c>
    </row>
    <row r="505" customFormat="false" ht="15.75" hidden="false" customHeight="false" outlineLevel="0" collapsed="false">
      <c r="A505" s="48" t="s">
        <v>643</v>
      </c>
      <c r="B505" s="48" t="s">
        <v>100</v>
      </c>
      <c r="C505" s="48" t="s">
        <v>889</v>
      </c>
    </row>
    <row r="506" customFormat="false" ht="15.75" hidden="false" customHeight="false" outlineLevel="0" collapsed="false">
      <c r="A506" s="48" t="s">
        <v>643</v>
      </c>
      <c r="B506" s="48" t="s">
        <v>100</v>
      </c>
      <c r="C506" s="48" t="s">
        <v>890</v>
      </c>
    </row>
    <row r="507" customFormat="false" ht="15.75" hidden="false" customHeight="false" outlineLevel="0" collapsed="false">
      <c r="A507" s="48" t="s">
        <v>643</v>
      </c>
      <c r="B507" s="48" t="s">
        <v>100</v>
      </c>
      <c r="C507" s="48" t="s">
        <v>653</v>
      </c>
    </row>
    <row r="508" customFormat="false" ht="15.75" hidden="false" customHeight="false" outlineLevel="0" collapsed="false">
      <c r="A508" s="48" t="s">
        <v>643</v>
      </c>
      <c r="B508" s="48" t="s">
        <v>100</v>
      </c>
      <c r="C508" s="48" t="s">
        <v>891</v>
      </c>
    </row>
    <row r="509" customFormat="false" ht="15.75" hidden="false" customHeight="false" outlineLevel="0" collapsed="false">
      <c r="A509" s="48" t="s">
        <v>643</v>
      </c>
      <c r="B509" s="48" t="s">
        <v>100</v>
      </c>
      <c r="C509" s="48" t="s">
        <v>892</v>
      </c>
    </row>
    <row r="510" customFormat="false" ht="15.75" hidden="false" customHeight="false" outlineLevel="0" collapsed="false">
      <c r="A510" s="48" t="s">
        <v>643</v>
      </c>
      <c r="B510" s="48" t="s">
        <v>100</v>
      </c>
      <c r="C510" s="48" t="s">
        <v>893</v>
      </c>
    </row>
    <row r="511" customFormat="false" ht="15.75" hidden="false" customHeight="false" outlineLevel="0" collapsed="false">
      <c r="A511" s="48" t="s">
        <v>643</v>
      </c>
      <c r="B511" s="48" t="s">
        <v>100</v>
      </c>
      <c r="C511" s="48" t="s">
        <v>894</v>
      </c>
    </row>
    <row r="512" customFormat="false" ht="15.75" hidden="false" customHeight="false" outlineLevel="0" collapsed="false">
      <c r="A512" s="48" t="s">
        <v>643</v>
      </c>
      <c r="B512" s="48" t="s">
        <v>100</v>
      </c>
      <c r="C512" s="48" t="s">
        <v>895</v>
      </c>
    </row>
    <row r="513" customFormat="false" ht="15.75" hidden="false" customHeight="false" outlineLevel="0" collapsed="false">
      <c r="A513" s="48" t="s">
        <v>643</v>
      </c>
      <c r="B513" s="48" t="s">
        <v>100</v>
      </c>
      <c r="C513" s="48" t="s">
        <v>896</v>
      </c>
    </row>
    <row r="514" customFormat="false" ht="15.75" hidden="false" customHeight="false" outlineLevel="0" collapsed="false">
      <c r="A514" s="48" t="s">
        <v>643</v>
      </c>
      <c r="B514" s="48" t="s">
        <v>100</v>
      </c>
      <c r="C514" s="48" t="s">
        <v>897</v>
      </c>
    </row>
    <row r="515" customFormat="false" ht="15.75" hidden="false" customHeight="false" outlineLevel="0" collapsed="false">
      <c r="A515" s="48" t="s">
        <v>643</v>
      </c>
      <c r="B515" s="48" t="s">
        <v>100</v>
      </c>
      <c r="C515" s="48" t="s">
        <v>898</v>
      </c>
    </row>
    <row r="516" customFormat="false" ht="15.75" hidden="false" customHeight="false" outlineLevel="0" collapsed="false">
      <c r="A516" s="48" t="s">
        <v>643</v>
      </c>
      <c r="B516" s="48" t="s">
        <v>100</v>
      </c>
      <c r="C516" s="48" t="s">
        <v>899</v>
      </c>
    </row>
    <row r="517" customFormat="false" ht="15.75" hidden="false" customHeight="false" outlineLevel="0" collapsed="false">
      <c r="A517" s="48" t="s">
        <v>643</v>
      </c>
      <c r="B517" s="48" t="s">
        <v>100</v>
      </c>
      <c r="C517" s="48" t="s">
        <v>900</v>
      </c>
    </row>
    <row r="518" customFormat="false" ht="15.75" hidden="false" customHeight="false" outlineLevel="0" collapsed="false">
      <c r="A518" s="48" t="s">
        <v>643</v>
      </c>
      <c r="B518" s="48" t="s">
        <v>100</v>
      </c>
      <c r="C518" s="48" t="s">
        <v>901</v>
      </c>
    </row>
    <row r="519" customFormat="false" ht="15.75" hidden="false" customHeight="false" outlineLevel="0" collapsed="false">
      <c r="A519" s="48" t="s">
        <v>643</v>
      </c>
      <c r="B519" s="48" t="s">
        <v>100</v>
      </c>
      <c r="C519" s="48" t="s">
        <v>902</v>
      </c>
    </row>
    <row r="520" customFormat="false" ht="15.75" hidden="false" customHeight="false" outlineLevel="0" collapsed="false">
      <c r="A520" s="48" t="s">
        <v>643</v>
      </c>
      <c r="B520" s="48" t="s">
        <v>100</v>
      </c>
      <c r="C520" s="48" t="s">
        <v>903</v>
      </c>
    </row>
    <row r="521" customFormat="false" ht="15.75" hidden="false" customHeight="false" outlineLevel="0" collapsed="false">
      <c r="A521" s="48" t="s">
        <v>643</v>
      </c>
      <c r="B521" s="48" t="s">
        <v>100</v>
      </c>
      <c r="C521" s="48" t="s">
        <v>904</v>
      </c>
    </row>
    <row r="522" customFormat="false" ht="15.75" hidden="false" customHeight="false" outlineLevel="0" collapsed="false">
      <c r="A522" s="48" t="s">
        <v>643</v>
      </c>
      <c r="B522" s="48" t="s">
        <v>100</v>
      </c>
      <c r="C522" s="48" t="s">
        <v>905</v>
      </c>
    </row>
    <row r="523" customFormat="false" ht="15.75" hidden="false" customHeight="false" outlineLevel="0" collapsed="false">
      <c r="A523" s="48" t="s">
        <v>643</v>
      </c>
      <c r="B523" s="48" t="s">
        <v>100</v>
      </c>
      <c r="C523" s="48" t="s">
        <v>906</v>
      </c>
    </row>
    <row r="524" customFormat="false" ht="15.75" hidden="false" customHeight="false" outlineLevel="0" collapsed="false">
      <c r="A524" s="48" t="s">
        <v>643</v>
      </c>
      <c r="B524" s="48" t="s">
        <v>100</v>
      </c>
      <c r="C524" s="48" t="s">
        <v>907</v>
      </c>
    </row>
    <row r="525" customFormat="false" ht="15.75" hidden="false" customHeight="false" outlineLevel="0" collapsed="false">
      <c r="A525" s="48" t="s">
        <v>643</v>
      </c>
      <c r="B525" s="48" t="s">
        <v>100</v>
      </c>
      <c r="C525" s="48" t="s">
        <v>908</v>
      </c>
    </row>
    <row r="526" customFormat="false" ht="15.75" hidden="false" customHeight="false" outlineLevel="0" collapsed="false">
      <c r="A526" s="48" t="s">
        <v>643</v>
      </c>
      <c r="B526" s="48" t="s">
        <v>100</v>
      </c>
      <c r="C526" s="48" t="s">
        <v>909</v>
      </c>
    </row>
    <row r="527" customFormat="false" ht="15.75" hidden="false" customHeight="false" outlineLevel="0" collapsed="false">
      <c r="A527" s="48" t="s">
        <v>643</v>
      </c>
      <c r="B527" s="48" t="s">
        <v>100</v>
      </c>
      <c r="C527" s="48" t="s">
        <v>910</v>
      </c>
    </row>
    <row r="528" customFormat="false" ht="15.75" hidden="false" customHeight="false" outlineLevel="0" collapsed="false">
      <c r="A528" s="48" t="s">
        <v>643</v>
      </c>
      <c r="B528" s="48" t="s">
        <v>100</v>
      </c>
      <c r="C528" s="48" t="s">
        <v>911</v>
      </c>
    </row>
    <row r="529" customFormat="false" ht="15.75" hidden="false" customHeight="false" outlineLevel="0" collapsed="false">
      <c r="A529" s="48" t="s">
        <v>643</v>
      </c>
      <c r="B529" s="48" t="s">
        <v>100</v>
      </c>
      <c r="C529" s="48" t="s">
        <v>912</v>
      </c>
    </row>
    <row r="530" customFormat="false" ht="15.75" hidden="false" customHeight="false" outlineLevel="0" collapsed="false">
      <c r="A530" s="48" t="s">
        <v>643</v>
      </c>
      <c r="B530" s="48" t="s">
        <v>100</v>
      </c>
      <c r="C530" s="48" t="s">
        <v>913</v>
      </c>
    </row>
    <row r="531" customFormat="false" ht="15.75" hidden="false" customHeight="false" outlineLevel="0" collapsed="false">
      <c r="A531" s="48" t="s">
        <v>643</v>
      </c>
      <c r="B531" s="48" t="s">
        <v>100</v>
      </c>
      <c r="C531" s="48" t="s">
        <v>914</v>
      </c>
    </row>
    <row r="532" customFormat="false" ht="15.75" hidden="false" customHeight="false" outlineLevel="0" collapsed="false">
      <c r="A532" s="48" t="s">
        <v>643</v>
      </c>
      <c r="B532" s="48" t="s">
        <v>100</v>
      </c>
      <c r="C532" s="48" t="s">
        <v>915</v>
      </c>
    </row>
    <row r="533" customFormat="false" ht="15.75" hidden="false" customHeight="false" outlineLevel="0" collapsed="false">
      <c r="A533" s="48" t="s">
        <v>643</v>
      </c>
      <c r="B533" s="48" t="s">
        <v>100</v>
      </c>
      <c r="C533" s="48" t="s">
        <v>916</v>
      </c>
    </row>
    <row r="534" customFormat="false" ht="15.75" hidden="false" customHeight="false" outlineLevel="0" collapsed="false">
      <c r="A534" s="48" t="s">
        <v>643</v>
      </c>
      <c r="B534" s="48" t="s">
        <v>100</v>
      </c>
      <c r="C534" s="48" t="s">
        <v>917</v>
      </c>
    </row>
    <row r="535" customFormat="false" ht="15.75" hidden="false" customHeight="false" outlineLevel="0" collapsed="false">
      <c r="A535" s="48" t="s">
        <v>643</v>
      </c>
      <c r="B535" s="48" t="s">
        <v>100</v>
      </c>
      <c r="C535" s="48" t="s">
        <v>918</v>
      </c>
    </row>
    <row r="536" customFormat="false" ht="15.75" hidden="false" customHeight="false" outlineLevel="0" collapsed="false">
      <c r="A536" s="48" t="s">
        <v>643</v>
      </c>
      <c r="B536" s="48" t="s">
        <v>100</v>
      </c>
      <c r="C536" s="48" t="s">
        <v>919</v>
      </c>
    </row>
    <row r="537" customFormat="false" ht="15.75" hidden="false" customHeight="false" outlineLevel="0" collapsed="false">
      <c r="A537" s="48" t="s">
        <v>643</v>
      </c>
      <c r="B537" s="48" t="s">
        <v>100</v>
      </c>
      <c r="C537" s="48" t="s">
        <v>920</v>
      </c>
    </row>
    <row r="538" customFormat="false" ht="15.75" hidden="false" customHeight="false" outlineLevel="0" collapsed="false">
      <c r="A538" s="48" t="s">
        <v>643</v>
      </c>
      <c r="B538" s="48" t="s">
        <v>100</v>
      </c>
      <c r="C538" s="48" t="s">
        <v>921</v>
      </c>
    </row>
    <row r="539" customFormat="false" ht="15.75" hidden="false" customHeight="false" outlineLevel="0" collapsed="false">
      <c r="A539" s="48" t="s">
        <v>643</v>
      </c>
      <c r="B539" s="48" t="s">
        <v>100</v>
      </c>
      <c r="C539" s="48" t="s">
        <v>922</v>
      </c>
    </row>
    <row r="540" customFormat="false" ht="15.75" hidden="false" customHeight="false" outlineLevel="0" collapsed="false">
      <c r="A540" s="48" t="s">
        <v>643</v>
      </c>
      <c r="B540" s="48" t="s">
        <v>100</v>
      </c>
      <c r="C540" s="48" t="s">
        <v>923</v>
      </c>
    </row>
    <row r="541" customFormat="false" ht="15.75" hidden="false" customHeight="false" outlineLevel="0" collapsed="false">
      <c r="A541" s="48" t="s">
        <v>643</v>
      </c>
      <c r="B541" s="48" t="s">
        <v>100</v>
      </c>
      <c r="C541" s="48" t="s">
        <v>924</v>
      </c>
    </row>
    <row r="542" customFormat="false" ht="15.75" hidden="false" customHeight="false" outlineLevel="0" collapsed="false">
      <c r="A542" s="48" t="s">
        <v>643</v>
      </c>
      <c r="B542" s="48" t="s">
        <v>100</v>
      </c>
      <c r="C542" s="48" t="s">
        <v>925</v>
      </c>
    </row>
    <row r="543" customFormat="false" ht="15.75" hidden="false" customHeight="false" outlineLevel="0" collapsed="false">
      <c r="A543" s="48" t="s">
        <v>643</v>
      </c>
      <c r="B543" s="48" t="s">
        <v>100</v>
      </c>
      <c r="C543" s="48" t="s">
        <v>926</v>
      </c>
    </row>
    <row r="544" customFormat="false" ht="15.75" hidden="false" customHeight="false" outlineLevel="0" collapsed="false">
      <c r="A544" s="48" t="s">
        <v>643</v>
      </c>
      <c r="B544" s="48" t="s">
        <v>100</v>
      </c>
      <c r="C544" s="48" t="s">
        <v>927</v>
      </c>
    </row>
    <row r="545" customFormat="false" ht="15.75" hidden="false" customHeight="false" outlineLevel="0" collapsed="false">
      <c r="A545" s="48" t="s">
        <v>643</v>
      </c>
      <c r="B545" s="48" t="s">
        <v>100</v>
      </c>
      <c r="C545" s="48" t="s">
        <v>928</v>
      </c>
    </row>
    <row r="546" customFormat="false" ht="15.75" hidden="false" customHeight="false" outlineLevel="0" collapsed="false">
      <c r="A546" s="48" t="s">
        <v>643</v>
      </c>
      <c r="B546" s="48" t="s">
        <v>100</v>
      </c>
      <c r="C546" s="48" t="s">
        <v>929</v>
      </c>
    </row>
    <row r="547" customFormat="false" ht="15.75" hidden="false" customHeight="false" outlineLevel="0" collapsed="false">
      <c r="A547" s="48" t="s">
        <v>643</v>
      </c>
      <c r="B547" s="48" t="s">
        <v>100</v>
      </c>
      <c r="C547" s="48" t="s">
        <v>655</v>
      </c>
    </row>
    <row r="548" customFormat="false" ht="15.75" hidden="false" customHeight="false" outlineLevel="0" collapsed="false">
      <c r="A548" s="48" t="s">
        <v>643</v>
      </c>
      <c r="B548" s="48" t="s">
        <v>100</v>
      </c>
      <c r="C548" s="48" t="s">
        <v>930</v>
      </c>
    </row>
    <row r="549" customFormat="false" ht="15.75" hidden="false" customHeight="false" outlineLevel="0" collapsed="false">
      <c r="A549" s="48" t="s">
        <v>643</v>
      </c>
      <c r="B549" s="48" t="s">
        <v>100</v>
      </c>
      <c r="C549" s="48" t="s">
        <v>931</v>
      </c>
    </row>
    <row r="550" customFormat="false" ht="15.75" hidden="false" customHeight="false" outlineLevel="0" collapsed="false">
      <c r="A550" s="48" t="s">
        <v>643</v>
      </c>
      <c r="B550" s="48" t="s">
        <v>100</v>
      </c>
      <c r="C550" s="48" t="s">
        <v>932</v>
      </c>
    </row>
    <row r="551" customFormat="false" ht="15.75" hidden="false" customHeight="false" outlineLevel="0" collapsed="false">
      <c r="A551" s="48" t="s">
        <v>643</v>
      </c>
      <c r="B551" s="48" t="s">
        <v>100</v>
      </c>
      <c r="C551" s="48" t="s">
        <v>933</v>
      </c>
    </row>
    <row r="552" customFormat="false" ht="15.75" hidden="false" customHeight="false" outlineLevel="0" collapsed="false">
      <c r="A552" s="48" t="s">
        <v>643</v>
      </c>
      <c r="B552" s="48" t="s">
        <v>100</v>
      </c>
      <c r="C552" s="48" t="s">
        <v>934</v>
      </c>
    </row>
    <row r="553" customFormat="false" ht="15.75" hidden="false" customHeight="false" outlineLevel="0" collapsed="false">
      <c r="A553" s="48" t="s">
        <v>643</v>
      </c>
      <c r="B553" s="48" t="s">
        <v>100</v>
      </c>
      <c r="C553" s="48" t="s">
        <v>935</v>
      </c>
    </row>
    <row r="554" customFormat="false" ht="15.75" hidden="false" customHeight="false" outlineLevel="0" collapsed="false">
      <c r="A554" s="48" t="s">
        <v>643</v>
      </c>
      <c r="B554" s="48" t="s">
        <v>100</v>
      </c>
      <c r="C554" s="48" t="s">
        <v>936</v>
      </c>
    </row>
    <row r="555" customFormat="false" ht="15.75" hidden="false" customHeight="false" outlineLevel="0" collapsed="false">
      <c r="A555" s="48" t="s">
        <v>643</v>
      </c>
      <c r="B555" s="48" t="s">
        <v>100</v>
      </c>
      <c r="C555" s="48" t="s">
        <v>937</v>
      </c>
    </row>
    <row r="556" customFormat="false" ht="15.75" hidden="false" customHeight="false" outlineLevel="0" collapsed="false">
      <c r="A556" s="48" t="s">
        <v>643</v>
      </c>
      <c r="B556" s="48" t="s">
        <v>100</v>
      </c>
      <c r="C556" s="48" t="s">
        <v>938</v>
      </c>
    </row>
    <row r="557" customFormat="false" ht="15.75" hidden="false" customHeight="false" outlineLevel="0" collapsed="false">
      <c r="A557" s="48" t="s">
        <v>643</v>
      </c>
      <c r="B557" s="48" t="s">
        <v>100</v>
      </c>
      <c r="C557" s="48" t="s">
        <v>939</v>
      </c>
    </row>
    <row r="558" customFormat="false" ht="15.75" hidden="false" customHeight="false" outlineLevel="0" collapsed="false">
      <c r="A558" s="48" t="s">
        <v>643</v>
      </c>
      <c r="B558" s="48" t="s">
        <v>100</v>
      </c>
      <c r="C558" s="48" t="s">
        <v>940</v>
      </c>
    </row>
    <row r="559" customFormat="false" ht="15.75" hidden="false" customHeight="false" outlineLevel="0" collapsed="false">
      <c r="A559" s="48" t="s">
        <v>643</v>
      </c>
      <c r="B559" s="48" t="s">
        <v>100</v>
      </c>
      <c r="C559" s="48" t="s">
        <v>941</v>
      </c>
    </row>
    <row r="560" customFormat="false" ht="15.75" hidden="false" customHeight="false" outlineLevel="0" collapsed="false">
      <c r="A560" s="48" t="s">
        <v>643</v>
      </c>
      <c r="B560" s="48" t="s">
        <v>100</v>
      </c>
      <c r="C560" s="48" t="s">
        <v>942</v>
      </c>
    </row>
    <row r="561" customFormat="false" ht="15.75" hidden="false" customHeight="false" outlineLevel="0" collapsed="false">
      <c r="A561" s="48" t="s">
        <v>643</v>
      </c>
      <c r="B561" s="48" t="s">
        <v>100</v>
      </c>
      <c r="C561" s="48" t="s">
        <v>943</v>
      </c>
    </row>
    <row r="562" customFormat="false" ht="15.75" hidden="false" customHeight="false" outlineLevel="0" collapsed="false">
      <c r="A562" s="48" t="s">
        <v>643</v>
      </c>
      <c r="B562" s="48" t="s">
        <v>100</v>
      </c>
      <c r="C562" s="48" t="s">
        <v>944</v>
      </c>
    </row>
    <row r="563" customFormat="false" ht="15.75" hidden="false" customHeight="false" outlineLevel="0" collapsed="false">
      <c r="A563" s="48" t="s">
        <v>643</v>
      </c>
      <c r="B563" s="48" t="s">
        <v>100</v>
      </c>
      <c r="C563" s="48" t="s">
        <v>945</v>
      </c>
    </row>
    <row r="564" customFormat="false" ht="15.75" hidden="false" customHeight="false" outlineLevel="0" collapsed="false">
      <c r="A564" s="48" t="s">
        <v>643</v>
      </c>
      <c r="B564" s="48" t="s">
        <v>100</v>
      </c>
      <c r="C564" s="48" t="s">
        <v>946</v>
      </c>
    </row>
    <row r="565" customFormat="false" ht="15.75" hidden="false" customHeight="false" outlineLevel="0" collapsed="false">
      <c r="A565" s="48" t="s">
        <v>643</v>
      </c>
      <c r="B565" s="48" t="s">
        <v>100</v>
      </c>
      <c r="C565" s="48" t="s">
        <v>656</v>
      </c>
    </row>
    <row r="566" customFormat="false" ht="15.75" hidden="false" customHeight="false" outlineLevel="0" collapsed="false">
      <c r="A566" s="48" t="s">
        <v>643</v>
      </c>
      <c r="B566" s="48" t="s">
        <v>100</v>
      </c>
      <c r="C566" s="48" t="s">
        <v>947</v>
      </c>
    </row>
    <row r="567" customFormat="false" ht="15.75" hidden="false" customHeight="false" outlineLevel="0" collapsed="false">
      <c r="A567" s="48" t="s">
        <v>643</v>
      </c>
      <c r="B567" s="48" t="s">
        <v>100</v>
      </c>
      <c r="C567" s="48" t="s">
        <v>948</v>
      </c>
    </row>
    <row r="568" customFormat="false" ht="15.75" hidden="false" customHeight="false" outlineLevel="0" collapsed="false">
      <c r="A568" s="48" t="s">
        <v>643</v>
      </c>
      <c r="B568" s="48" t="s">
        <v>100</v>
      </c>
      <c r="C568" s="48" t="s">
        <v>949</v>
      </c>
    </row>
    <row r="569" customFormat="false" ht="15.75" hidden="false" customHeight="false" outlineLevel="0" collapsed="false">
      <c r="A569" s="48" t="s">
        <v>643</v>
      </c>
      <c r="B569" s="48" t="s">
        <v>100</v>
      </c>
      <c r="C569" s="48" t="s">
        <v>950</v>
      </c>
    </row>
    <row r="570" customFormat="false" ht="15.75" hidden="false" customHeight="false" outlineLevel="0" collapsed="false">
      <c r="A570" s="48" t="s">
        <v>643</v>
      </c>
      <c r="B570" s="48" t="s">
        <v>100</v>
      </c>
      <c r="C570" s="48" t="s">
        <v>657</v>
      </c>
    </row>
    <row r="571" customFormat="false" ht="15.75" hidden="false" customHeight="false" outlineLevel="0" collapsed="false">
      <c r="A571" s="48" t="s">
        <v>643</v>
      </c>
      <c r="B571" s="48" t="s">
        <v>100</v>
      </c>
      <c r="C571" s="48" t="s">
        <v>951</v>
      </c>
    </row>
    <row r="572" customFormat="false" ht="15.75" hidden="false" customHeight="false" outlineLevel="0" collapsed="false">
      <c r="A572" s="48" t="s">
        <v>643</v>
      </c>
      <c r="B572" s="48" t="s">
        <v>100</v>
      </c>
      <c r="C572" s="48" t="s">
        <v>658</v>
      </c>
    </row>
    <row r="573" customFormat="false" ht="15.75" hidden="false" customHeight="false" outlineLevel="0" collapsed="false">
      <c r="A573" s="48" t="s">
        <v>643</v>
      </c>
      <c r="B573" s="48" t="s">
        <v>100</v>
      </c>
      <c r="C573" s="48" t="s">
        <v>952</v>
      </c>
    </row>
    <row r="574" customFormat="false" ht="15.75" hidden="false" customHeight="false" outlineLevel="0" collapsed="false">
      <c r="A574" s="48" t="s">
        <v>643</v>
      </c>
      <c r="B574" s="48" t="s">
        <v>100</v>
      </c>
      <c r="C574" s="48" t="s">
        <v>953</v>
      </c>
    </row>
    <row r="575" customFormat="false" ht="15.75" hidden="false" customHeight="false" outlineLevel="0" collapsed="false">
      <c r="A575" s="48" t="s">
        <v>643</v>
      </c>
      <c r="B575" s="48" t="s">
        <v>100</v>
      </c>
      <c r="C575" s="48" t="s">
        <v>954</v>
      </c>
    </row>
    <row r="576" customFormat="false" ht="15.75" hidden="false" customHeight="false" outlineLevel="0" collapsed="false">
      <c r="A576" s="48" t="s">
        <v>643</v>
      </c>
      <c r="B576" s="48" t="s">
        <v>100</v>
      </c>
      <c r="C576" s="48" t="s">
        <v>955</v>
      </c>
    </row>
    <row r="577" customFormat="false" ht="15.75" hidden="false" customHeight="false" outlineLevel="0" collapsed="false">
      <c r="A577" s="48" t="s">
        <v>643</v>
      </c>
      <c r="B577" s="48" t="s">
        <v>100</v>
      </c>
      <c r="C577" s="48" t="s">
        <v>956</v>
      </c>
    </row>
    <row r="578" customFormat="false" ht="15.75" hidden="false" customHeight="false" outlineLevel="0" collapsed="false">
      <c r="A578" s="48" t="s">
        <v>643</v>
      </c>
      <c r="B578" s="48" t="s">
        <v>100</v>
      </c>
      <c r="C578" s="48" t="s">
        <v>957</v>
      </c>
    </row>
    <row r="579" customFormat="false" ht="15.75" hidden="false" customHeight="false" outlineLevel="0" collapsed="false">
      <c r="A579" s="48" t="s">
        <v>643</v>
      </c>
      <c r="B579" s="48" t="s">
        <v>100</v>
      </c>
      <c r="C579" s="48" t="s">
        <v>958</v>
      </c>
    </row>
    <row r="580" customFormat="false" ht="15.75" hidden="false" customHeight="false" outlineLevel="0" collapsed="false">
      <c r="A580" s="48" t="s">
        <v>643</v>
      </c>
      <c r="B580" s="48" t="s">
        <v>100</v>
      </c>
      <c r="C580" s="48" t="s">
        <v>959</v>
      </c>
    </row>
    <row r="581" customFormat="false" ht="15.75" hidden="false" customHeight="false" outlineLevel="0" collapsed="false">
      <c r="A581" s="48" t="s">
        <v>643</v>
      </c>
      <c r="B581" s="48" t="s">
        <v>100</v>
      </c>
      <c r="C581" s="48" t="s">
        <v>960</v>
      </c>
    </row>
    <row r="582" customFormat="false" ht="15.75" hidden="false" customHeight="false" outlineLevel="0" collapsed="false">
      <c r="A582" s="48" t="s">
        <v>643</v>
      </c>
      <c r="B582" s="48" t="s">
        <v>100</v>
      </c>
      <c r="C582" s="48" t="s">
        <v>961</v>
      </c>
    </row>
    <row r="583" customFormat="false" ht="15.75" hidden="false" customHeight="false" outlineLevel="0" collapsed="false">
      <c r="A583" s="48" t="s">
        <v>643</v>
      </c>
      <c r="B583" s="48" t="s">
        <v>100</v>
      </c>
      <c r="C583" s="48" t="s">
        <v>962</v>
      </c>
    </row>
    <row r="584" customFormat="false" ht="15.75" hidden="false" customHeight="false" outlineLevel="0" collapsed="false">
      <c r="A584" s="48" t="s">
        <v>643</v>
      </c>
      <c r="B584" s="48" t="s">
        <v>100</v>
      </c>
      <c r="C584" s="48" t="s">
        <v>963</v>
      </c>
    </row>
    <row r="585" customFormat="false" ht="15.75" hidden="false" customHeight="false" outlineLevel="0" collapsed="false">
      <c r="A585" s="48" t="s">
        <v>643</v>
      </c>
      <c r="B585" s="48" t="s">
        <v>100</v>
      </c>
      <c r="C585" s="48" t="s">
        <v>964</v>
      </c>
    </row>
    <row r="586" customFormat="false" ht="15.75" hidden="false" customHeight="false" outlineLevel="0" collapsed="false">
      <c r="A586" s="48" t="s">
        <v>643</v>
      </c>
      <c r="B586" s="48" t="s">
        <v>100</v>
      </c>
      <c r="C586" s="48" t="s">
        <v>965</v>
      </c>
    </row>
    <row r="587" customFormat="false" ht="15.75" hidden="false" customHeight="false" outlineLevel="0" collapsed="false">
      <c r="A587" s="48" t="s">
        <v>643</v>
      </c>
      <c r="B587" s="48" t="s">
        <v>100</v>
      </c>
      <c r="C587" s="48" t="s">
        <v>966</v>
      </c>
    </row>
    <row r="588" customFormat="false" ht="15.75" hidden="false" customHeight="false" outlineLevel="0" collapsed="false">
      <c r="A588" s="48" t="s">
        <v>643</v>
      </c>
      <c r="B588" s="48" t="s">
        <v>100</v>
      </c>
      <c r="C588" s="48" t="s">
        <v>967</v>
      </c>
    </row>
    <row r="589" customFormat="false" ht="15.75" hidden="false" customHeight="false" outlineLevel="0" collapsed="false">
      <c r="A589" s="48" t="s">
        <v>643</v>
      </c>
      <c r="B589" s="48" t="s">
        <v>100</v>
      </c>
      <c r="C589" s="48" t="s">
        <v>968</v>
      </c>
    </row>
    <row r="590" customFormat="false" ht="15.75" hidden="false" customHeight="false" outlineLevel="0" collapsed="false">
      <c r="A590" s="48" t="s">
        <v>643</v>
      </c>
      <c r="B590" s="48" t="s">
        <v>100</v>
      </c>
      <c r="C590" s="48" t="s">
        <v>969</v>
      </c>
    </row>
    <row r="591" customFormat="false" ht="15.75" hidden="false" customHeight="false" outlineLevel="0" collapsed="false">
      <c r="A591" s="48" t="s">
        <v>643</v>
      </c>
      <c r="B591" s="48" t="s">
        <v>100</v>
      </c>
      <c r="C591" s="48" t="s">
        <v>970</v>
      </c>
    </row>
    <row r="592" customFormat="false" ht="15.75" hidden="false" customHeight="false" outlineLevel="0" collapsed="false">
      <c r="A592" s="48" t="s">
        <v>643</v>
      </c>
      <c r="B592" s="48" t="s">
        <v>100</v>
      </c>
      <c r="C592" s="48" t="s">
        <v>971</v>
      </c>
    </row>
    <row r="593" customFormat="false" ht="15.75" hidden="false" customHeight="false" outlineLevel="0" collapsed="false">
      <c r="A593" s="48" t="s">
        <v>643</v>
      </c>
      <c r="B593" s="48" t="s">
        <v>100</v>
      </c>
      <c r="C593" s="48" t="s">
        <v>972</v>
      </c>
    </row>
    <row r="594" customFormat="false" ht="15.75" hidden="false" customHeight="false" outlineLevel="0" collapsed="false">
      <c r="A594" s="48" t="s">
        <v>643</v>
      </c>
      <c r="B594" s="48" t="s">
        <v>100</v>
      </c>
      <c r="C594" s="48" t="s">
        <v>973</v>
      </c>
    </row>
    <row r="595" customFormat="false" ht="15.75" hidden="false" customHeight="false" outlineLevel="0" collapsed="false">
      <c r="A595" s="48" t="s">
        <v>643</v>
      </c>
      <c r="B595" s="48" t="s">
        <v>100</v>
      </c>
      <c r="C595" s="48" t="s">
        <v>974</v>
      </c>
    </row>
    <row r="596" customFormat="false" ht="15.75" hidden="false" customHeight="false" outlineLevel="0" collapsed="false">
      <c r="A596" s="48" t="s">
        <v>643</v>
      </c>
      <c r="B596" s="48" t="s">
        <v>100</v>
      </c>
      <c r="C596" s="48" t="s">
        <v>975</v>
      </c>
    </row>
    <row r="597" customFormat="false" ht="15.75" hidden="false" customHeight="false" outlineLevel="0" collapsed="false">
      <c r="A597" s="48" t="s">
        <v>643</v>
      </c>
      <c r="B597" s="48" t="s">
        <v>100</v>
      </c>
      <c r="C597" s="48" t="s">
        <v>976</v>
      </c>
    </row>
    <row r="598" customFormat="false" ht="15.75" hidden="false" customHeight="false" outlineLevel="0" collapsed="false">
      <c r="A598" s="48" t="s">
        <v>643</v>
      </c>
      <c r="B598" s="48" t="s">
        <v>100</v>
      </c>
      <c r="C598" s="48" t="s">
        <v>977</v>
      </c>
    </row>
    <row r="599" customFormat="false" ht="15.75" hidden="false" customHeight="false" outlineLevel="0" collapsed="false">
      <c r="A599" s="48" t="s">
        <v>643</v>
      </c>
      <c r="B599" s="48" t="s">
        <v>100</v>
      </c>
      <c r="C599" s="48" t="s">
        <v>978</v>
      </c>
    </row>
    <row r="600" customFormat="false" ht="15.75" hidden="false" customHeight="false" outlineLevel="0" collapsed="false">
      <c r="A600" s="48" t="s">
        <v>643</v>
      </c>
      <c r="B600" s="48" t="s">
        <v>100</v>
      </c>
      <c r="C600" s="48" t="s">
        <v>979</v>
      </c>
    </row>
    <row r="601" customFormat="false" ht="15.75" hidden="false" customHeight="false" outlineLevel="0" collapsed="false">
      <c r="A601" s="48" t="s">
        <v>643</v>
      </c>
      <c r="B601" s="48" t="s">
        <v>100</v>
      </c>
      <c r="C601" s="48" t="s">
        <v>980</v>
      </c>
    </row>
    <row r="602" customFormat="false" ht="15.75" hidden="false" customHeight="false" outlineLevel="0" collapsed="false">
      <c r="A602" s="48" t="s">
        <v>643</v>
      </c>
      <c r="B602" s="48" t="s">
        <v>100</v>
      </c>
      <c r="C602" s="48" t="s">
        <v>981</v>
      </c>
    </row>
    <row r="603" customFormat="false" ht="15.75" hidden="false" customHeight="false" outlineLevel="0" collapsed="false">
      <c r="A603" s="48" t="s">
        <v>643</v>
      </c>
      <c r="B603" s="48" t="s">
        <v>100</v>
      </c>
      <c r="C603" s="48" t="s">
        <v>982</v>
      </c>
    </row>
    <row r="604" customFormat="false" ht="15.75" hidden="false" customHeight="false" outlineLevel="0" collapsed="false">
      <c r="A604" s="48" t="s">
        <v>643</v>
      </c>
      <c r="B604" s="48" t="s">
        <v>100</v>
      </c>
      <c r="C604" s="48" t="s">
        <v>983</v>
      </c>
    </row>
    <row r="605" customFormat="false" ht="15.75" hidden="false" customHeight="false" outlineLevel="0" collapsed="false">
      <c r="A605" s="48" t="s">
        <v>643</v>
      </c>
      <c r="B605" s="48" t="s">
        <v>100</v>
      </c>
      <c r="C605" s="48" t="s">
        <v>984</v>
      </c>
    </row>
    <row r="606" customFormat="false" ht="15.75" hidden="false" customHeight="false" outlineLevel="0" collapsed="false">
      <c r="A606" s="48" t="s">
        <v>643</v>
      </c>
      <c r="B606" s="48" t="s">
        <v>100</v>
      </c>
      <c r="C606" s="48" t="s">
        <v>985</v>
      </c>
    </row>
    <row r="607" customFormat="false" ht="15.75" hidden="false" customHeight="false" outlineLevel="0" collapsed="false">
      <c r="A607" s="48" t="s">
        <v>643</v>
      </c>
      <c r="B607" s="48" t="s">
        <v>100</v>
      </c>
      <c r="C607" s="48" t="s">
        <v>986</v>
      </c>
    </row>
    <row r="608" customFormat="false" ht="15.75" hidden="false" customHeight="false" outlineLevel="0" collapsed="false">
      <c r="A608" s="48" t="s">
        <v>643</v>
      </c>
      <c r="B608" s="48" t="s">
        <v>100</v>
      </c>
      <c r="C608" s="48" t="s">
        <v>987</v>
      </c>
    </row>
    <row r="609" customFormat="false" ht="15.75" hidden="false" customHeight="false" outlineLevel="0" collapsed="false">
      <c r="A609" s="48" t="s">
        <v>643</v>
      </c>
      <c r="B609" s="48" t="s">
        <v>100</v>
      </c>
      <c r="C609" s="48" t="s">
        <v>988</v>
      </c>
    </row>
    <row r="610" customFormat="false" ht="15.75" hidden="false" customHeight="false" outlineLevel="0" collapsed="false">
      <c r="A610" s="48" t="s">
        <v>643</v>
      </c>
      <c r="B610" s="48" t="s">
        <v>100</v>
      </c>
      <c r="C610" s="48" t="s">
        <v>989</v>
      </c>
    </row>
    <row r="611" customFormat="false" ht="15.75" hidden="false" customHeight="false" outlineLevel="0" collapsed="false">
      <c r="A611" s="48" t="s">
        <v>643</v>
      </c>
      <c r="B611" s="48" t="s">
        <v>100</v>
      </c>
      <c r="C611" s="48" t="s">
        <v>990</v>
      </c>
    </row>
    <row r="612" customFormat="false" ht="15.75" hidden="false" customHeight="false" outlineLevel="0" collapsed="false">
      <c r="A612" s="48" t="s">
        <v>643</v>
      </c>
      <c r="B612" s="48" t="s">
        <v>100</v>
      </c>
      <c r="C612" s="48" t="s">
        <v>991</v>
      </c>
    </row>
    <row r="613" customFormat="false" ht="15.75" hidden="false" customHeight="false" outlineLevel="0" collapsed="false">
      <c r="A613" s="48" t="s">
        <v>643</v>
      </c>
      <c r="B613" s="48" t="s">
        <v>100</v>
      </c>
      <c r="C613" s="48" t="s">
        <v>992</v>
      </c>
    </row>
    <row r="614" customFormat="false" ht="15.75" hidden="false" customHeight="false" outlineLevel="0" collapsed="false">
      <c r="A614" s="48" t="s">
        <v>643</v>
      </c>
      <c r="B614" s="48" t="s">
        <v>100</v>
      </c>
      <c r="C614" s="48" t="s">
        <v>993</v>
      </c>
    </row>
    <row r="615" customFormat="false" ht="15.75" hidden="false" customHeight="false" outlineLevel="0" collapsed="false">
      <c r="A615" s="48" t="s">
        <v>643</v>
      </c>
      <c r="B615" s="48" t="s">
        <v>100</v>
      </c>
      <c r="C615" s="48" t="s">
        <v>994</v>
      </c>
    </row>
    <row r="616" customFormat="false" ht="15.75" hidden="false" customHeight="false" outlineLevel="0" collapsed="false">
      <c r="A616" s="48" t="s">
        <v>643</v>
      </c>
      <c r="B616" s="48" t="s">
        <v>100</v>
      </c>
      <c r="C616" s="48" t="s">
        <v>995</v>
      </c>
    </row>
    <row r="617" customFormat="false" ht="15.75" hidden="false" customHeight="false" outlineLevel="0" collapsed="false">
      <c r="A617" s="48" t="s">
        <v>643</v>
      </c>
      <c r="B617" s="48" t="s">
        <v>100</v>
      </c>
      <c r="C617" s="48" t="s">
        <v>996</v>
      </c>
    </row>
    <row r="618" customFormat="false" ht="15.75" hidden="false" customHeight="false" outlineLevel="0" collapsed="false">
      <c r="A618" s="48" t="s">
        <v>643</v>
      </c>
      <c r="B618" s="48" t="s">
        <v>100</v>
      </c>
      <c r="C618" s="48" t="s">
        <v>997</v>
      </c>
    </row>
    <row r="619" customFormat="false" ht="15.75" hidden="false" customHeight="false" outlineLevel="0" collapsed="false">
      <c r="A619" s="48" t="s">
        <v>643</v>
      </c>
      <c r="B619" s="48" t="s">
        <v>100</v>
      </c>
      <c r="C619" s="48" t="s">
        <v>646</v>
      </c>
    </row>
    <row r="620" customFormat="false" ht="15.75" hidden="false" customHeight="false" outlineLevel="0" collapsed="false">
      <c r="A620" s="48" t="s">
        <v>643</v>
      </c>
      <c r="B620" s="48" t="s">
        <v>100</v>
      </c>
      <c r="C620" s="48" t="s">
        <v>998</v>
      </c>
    </row>
    <row r="621" customFormat="false" ht="15.75" hidden="false" customHeight="false" outlineLevel="0" collapsed="false">
      <c r="A621" s="48" t="s">
        <v>643</v>
      </c>
      <c r="B621" s="48" t="s">
        <v>100</v>
      </c>
      <c r="C621" s="48" t="s">
        <v>999</v>
      </c>
    </row>
    <row r="622" customFormat="false" ht="15.75" hidden="false" customHeight="false" outlineLevel="0" collapsed="false">
      <c r="A622" s="48" t="s">
        <v>643</v>
      </c>
      <c r="B622" s="48" t="s">
        <v>103</v>
      </c>
      <c r="C622" s="48" t="s">
        <v>1000</v>
      </c>
    </row>
    <row r="623" customFormat="false" ht="15.75" hidden="false" customHeight="false" outlineLevel="0" collapsed="false">
      <c r="A623" s="48" t="s">
        <v>643</v>
      </c>
      <c r="B623" s="48" t="s">
        <v>103</v>
      </c>
      <c r="C623" s="48" t="s">
        <v>1001</v>
      </c>
    </row>
    <row r="624" customFormat="false" ht="15.75" hidden="false" customHeight="false" outlineLevel="0" collapsed="false">
      <c r="A624" s="48" t="s">
        <v>643</v>
      </c>
      <c r="B624" s="48" t="s">
        <v>103</v>
      </c>
      <c r="C624" s="48" t="s">
        <v>1002</v>
      </c>
    </row>
    <row r="625" customFormat="false" ht="15.75" hidden="false" customHeight="false" outlineLevel="0" collapsed="false">
      <c r="A625" s="48" t="s">
        <v>643</v>
      </c>
      <c r="B625" s="48" t="s">
        <v>103</v>
      </c>
      <c r="C625" s="48" t="s">
        <v>1003</v>
      </c>
    </row>
    <row r="626" customFormat="false" ht="15.75" hidden="false" customHeight="false" outlineLevel="0" collapsed="false">
      <c r="A626" s="48" t="s">
        <v>643</v>
      </c>
      <c r="B626" s="48" t="s">
        <v>103</v>
      </c>
      <c r="C626" s="48" t="s">
        <v>1004</v>
      </c>
    </row>
    <row r="627" customFormat="false" ht="15.75" hidden="false" customHeight="false" outlineLevel="0" collapsed="false">
      <c r="A627" s="48" t="s">
        <v>643</v>
      </c>
      <c r="B627" s="48" t="s">
        <v>103</v>
      </c>
      <c r="C627" s="48" t="s">
        <v>1005</v>
      </c>
    </row>
    <row r="628" customFormat="false" ht="15.75" hidden="false" customHeight="false" outlineLevel="0" collapsed="false">
      <c r="A628" s="48" t="s">
        <v>643</v>
      </c>
      <c r="B628" s="48" t="s">
        <v>103</v>
      </c>
      <c r="C628" s="48" t="s">
        <v>1006</v>
      </c>
    </row>
    <row r="629" customFormat="false" ht="15.75" hidden="false" customHeight="false" outlineLevel="0" collapsed="false">
      <c r="A629" s="48" t="s">
        <v>643</v>
      </c>
      <c r="B629" s="48" t="s">
        <v>103</v>
      </c>
      <c r="C629" s="48" t="s">
        <v>660</v>
      </c>
    </row>
    <row r="630" customFormat="false" ht="15.75" hidden="false" customHeight="false" outlineLevel="0" collapsed="false">
      <c r="A630" s="48" t="s">
        <v>643</v>
      </c>
      <c r="B630" s="48" t="s">
        <v>103</v>
      </c>
      <c r="C630" s="48" t="s">
        <v>1007</v>
      </c>
    </row>
    <row r="631" customFormat="false" ht="15.75" hidden="false" customHeight="false" outlineLevel="0" collapsed="false">
      <c r="A631" s="48" t="s">
        <v>643</v>
      </c>
      <c r="B631" s="48" t="s">
        <v>103</v>
      </c>
      <c r="C631" s="48" t="s">
        <v>1008</v>
      </c>
    </row>
    <row r="632" customFormat="false" ht="15.75" hidden="false" customHeight="false" outlineLevel="0" collapsed="false">
      <c r="A632" s="48" t="s">
        <v>643</v>
      </c>
      <c r="B632" s="48" t="s">
        <v>103</v>
      </c>
      <c r="C632" s="48" t="s">
        <v>1009</v>
      </c>
    </row>
    <row r="633" customFormat="false" ht="15.75" hidden="false" customHeight="false" outlineLevel="0" collapsed="false">
      <c r="A633" s="48" t="s">
        <v>643</v>
      </c>
      <c r="B633" s="48" t="s">
        <v>103</v>
      </c>
      <c r="C633" s="48" t="s">
        <v>1010</v>
      </c>
    </row>
    <row r="634" customFormat="false" ht="15.75" hidden="false" customHeight="false" outlineLevel="0" collapsed="false">
      <c r="A634" s="48" t="s">
        <v>643</v>
      </c>
      <c r="B634" s="48" t="s">
        <v>103</v>
      </c>
      <c r="C634" s="48" t="s">
        <v>1011</v>
      </c>
    </row>
    <row r="635" customFormat="false" ht="15.75" hidden="false" customHeight="false" outlineLevel="0" collapsed="false">
      <c r="A635" s="48" t="s">
        <v>643</v>
      </c>
      <c r="B635" s="48" t="s">
        <v>103</v>
      </c>
      <c r="C635" s="48" t="s">
        <v>1012</v>
      </c>
    </row>
    <row r="636" customFormat="false" ht="15.75" hidden="false" customHeight="false" outlineLevel="0" collapsed="false">
      <c r="A636" s="48" t="s">
        <v>643</v>
      </c>
      <c r="B636" s="48" t="s">
        <v>103</v>
      </c>
      <c r="C636" s="48" t="s">
        <v>1013</v>
      </c>
    </row>
    <row r="637" customFormat="false" ht="15.75" hidden="false" customHeight="false" outlineLevel="0" collapsed="false">
      <c r="A637" s="48" t="s">
        <v>643</v>
      </c>
      <c r="B637" s="48" t="s">
        <v>103</v>
      </c>
      <c r="C637" s="48" t="s">
        <v>1014</v>
      </c>
    </row>
    <row r="638" customFormat="false" ht="15.75" hidden="false" customHeight="false" outlineLevel="0" collapsed="false">
      <c r="A638" s="48" t="s">
        <v>643</v>
      </c>
      <c r="B638" s="48" t="s">
        <v>103</v>
      </c>
      <c r="C638" s="48" t="s">
        <v>1015</v>
      </c>
    </row>
    <row r="639" customFormat="false" ht="15.75" hidden="false" customHeight="false" outlineLevel="0" collapsed="false">
      <c r="A639" s="48" t="s">
        <v>643</v>
      </c>
      <c r="B639" s="48" t="s">
        <v>103</v>
      </c>
      <c r="C639" s="48" t="s">
        <v>1016</v>
      </c>
    </row>
    <row r="640" customFormat="false" ht="15.75" hidden="false" customHeight="false" outlineLevel="0" collapsed="false">
      <c r="A640" s="48" t="s">
        <v>643</v>
      </c>
      <c r="B640" s="48" t="s">
        <v>103</v>
      </c>
      <c r="C640" s="48" t="s">
        <v>1017</v>
      </c>
    </row>
    <row r="641" customFormat="false" ht="15.75" hidden="false" customHeight="false" outlineLevel="0" collapsed="false">
      <c r="A641" s="48" t="s">
        <v>643</v>
      </c>
      <c r="B641" s="48" t="s">
        <v>103</v>
      </c>
      <c r="C641" s="48" t="s">
        <v>1018</v>
      </c>
    </row>
    <row r="642" customFormat="false" ht="15.75" hidden="false" customHeight="false" outlineLevel="0" collapsed="false">
      <c r="A642" s="48" t="s">
        <v>643</v>
      </c>
      <c r="B642" s="48" t="s">
        <v>103</v>
      </c>
      <c r="C642" s="48" t="s">
        <v>1019</v>
      </c>
    </row>
    <row r="643" customFormat="false" ht="15.75" hidden="false" customHeight="false" outlineLevel="0" collapsed="false">
      <c r="A643" s="48" t="s">
        <v>643</v>
      </c>
      <c r="B643" s="48" t="s">
        <v>103</v>
      </c>
      <c r="C643" s="48" t="s">
        <v>1020</v>
      </c>
    </row>
    <row r="644" customFormat="false" ht="15.75" hidden="false" customHeight="false" outlineLevel="0" collapsed="false">
      <c r="A644" s="48" t="s">
        <v>643</v>
      </c>
      <c r="B644" s="48" t="s">
        <v>103</v>
      </c>
      <c r="C644" s="48" t="s">
        <v>1021</v>
      </c>
    </row>
    <row r="645" customFormat="false" ht="15.75" hidden="false" customHeight="false" outlineLevel="0" collapsed="false">
      <c r="A645" s="48" t="s">
        <v>643</v>
      </c>
      <c r="B645" s="48" t="s">
        <v>103</v>
      </c>
      <c r="C645" s="48" t="s">
        <v>1022</v>
      </c>
    </row>
    <row r="646" customFormat="false" ht="15.75" hidden="false" customHeight="false" outlineLevel="0" collapsed="false">
      <c r="A646" s="48" t="s">
        <v>643</v>
      </c>
      <c r="B646" s="48" t="s">
        <v>103</v>
      </c>
      <c r="C646" s="48" t="s">
        <v>1023</v>
      </c>
    </row>
    <row r="647" customFormat="false" ht="15.75" hidden="false" customHeight="false" outlineLevel="0" collapsed="false">
      <c r="A647" s="48" t="s">
        <v>643</v>
      </c>
      <c r="B647" s="48" t="s">
        <v>103</v>
      </c>
      <c r="C647" s="48" t="s">
        <v>1024</v>
      </c>
    </row>
    <row r="648" customFormat="false" ht="15.75" hidden="false" customHeight="false" outlineLevel="0" collapsed="false">
      <c r="A648" s="48" t="s">
        <v>643</v>
      </c>
      <c r="B648" s="48" t="s">
        <v>103</v>
      </c>
      <c r="C648" s="48" t="s">
        <v>1025</v>
      </c>
    </row>
    <row r="649" customFormat="false" ht="15.75" hidden="false" customHeight="false" outlineLevel="0" collapsed="false">
      <c r="A649" s="48" t="s">
        <v>643</v>
      </c>
      <c r="B649" s="48" t="s">
        <v>103</v>
      </c>
      <c r="C649" s="48" t="s">
        <v>1026</v>
      </c>
    </row>
    <row r="650" customFormat="false" ht="15.75" hidden="false" customHeight="false" outlineLevel="0" collapsed="false">
      <c r="A650" s="48" t="s">
        <v>643</v>
      </c>
      <c r="B650" s="48" t="s">
        <v>103</v>
      </c>
      <c r="C650" s="48" t="s">
        <v>1027</v>
      </c>
    </row>
    <row r="651" customFormat="false" ht="15.75" hidden="false" customHeight="false" outlineLevel="0" collapsed="false">
      <c r="A651" s="48" t="s">
        <v>643</v>
      </c>
      <c r="B651" s="48" t="s">
        <v>103</v>
      </c>
      <c r="C651" s="48" t="s">
        <v>1028</v>
      </c>
    </row>
    <row r="652" customFormat="false" ht="15.75" hidden="false" customHeight="false" outlineLevel="0" collapsed="false">
      <c r="A652" s="48" t="s">
        <v>643</v>
      </c>
      <c r="B652" s="48" t="s">
        <v>103</v>
      </c>
      <c r="C652" s="48" t="s">
        <v>1029</v>
      </c>
    </row>
    <row r="653" customFormat="false" ht="15.75" hidden="false" customHeight="false" outlineLevel="0" collapsed="false">
      <c r="A653" s="48" t="s">
        <v>643</v>
      </c>
      <c r="B653" s="48" t="s">
        <v>103</v>
      </c>
      <c r="C653" s="48" t="s">
        <v>1030</v>
      </c>
    </row>
    <row r="654" customFormat="false" ht="15.75" hidden="false" customHeight="false" outlineLevel="0" collapsed="false">
      <c r="A654" s="48" t="s">
        <v>643</v>
      </c>
      <c r="B654" s="48" t="s">
        <v>103</v>
      </c>
      <c r="C654" s="48" t="s">
        <v>1031</v>
      </c>
    </row>
    <row r="655" customFormat="false" ht="15.75" hidden="false" customHeight="false" outlineLevel="0" collapsed="false">
      <c r="A655" s="48" t="s">
        <v>643</v>
      </c>
      <c r="B655" s="48" t="s">
        <v>103</v>
      </c>
      <c r="C655" s="48" t="s">
        <v>1032</v>
      </c>
    </row>
    <row r="656" customFormat="false" ht="15.75" hidden="false" customHeight="false" outlineLevel="0" collapsed="false">
      <c r="A656" s="48" t="s">
        <v>643</v>
      </c>
      <c r="B656" s="48" t="s">
        <v>103</v>
      </c>
      <c r="C656" s="48" t="s">
        <v>1033</v>
      </c>
    </row>
    <row r="657" customFormat="false" ht="15.75" hidden="false" customHeight="false" outlineLevel="0" collapsed="false">
      <c r="A657" s="48" t="s">
        <v>643</v>
      </c>
      <c r="B657" s="48" t="s">
        <v>103</v>
      </c>
      <c r="C657" s="48" t="s">
        <v>1034</v>
      </c>
    </row>
    <row r="658" customFormat="false" ht="15.75" hidden="false" customHeight="false" outlineLevel="0" collapsed="false">
      <c r="A658" s="48" t="s">
        <v>643</v>
      </c>
      <c r="B658" s="48" t="s">
        <v>103</v>
      </c>
      <c r="C658" s="48" t="s">
        <v>1035</v>
      </c>
    </row>
    <row r="659" customFormat="false" ht="15.75" hidden="false" customHeight="false" outlineLevel="0" collapsed="false">
      <c r="A659" s="48" t="s">
        <v>643</v>
      </c>
      <c r="B659" s="48" t="s">
        <v>103</v>
      </c>
      <c r="C659" s="48" t="s">
        <v>1036</v>
      </c>
    </row>
    <row r="660" customFormat="false" ht="15.75" hidden="false" customHeight="false" outlineLevel="0" collapsed="false">
      <c r="A660" s="48" t="s">
        <v>643</v>
      </c>
      <c r="B660" s="48" t="s">
        <v>103</v>
      </c>
      <c r="C660" s="48" t="s">
        <v>1037</v>
      </c>
    </row>
    <row r="661" customFormat="false" ht="15.75" hidden="false" customHeight="false" outlineLevel="0" collapsed="false">
      <c r="A661" s="48" t="s">
        <v>643</v>
      </c>
      <c r="B661" s="48" t="s">
        <v>103</v>
      </c>
      <c r="C661" s="48" t="s">
        <v>1038</v>
      </c>
    </row>
    <row r="662" customFormat="false" ht="15.75" hidden="false" customHeight="false" outlineLevel="0" collapsed="false">
      <c r="A662" s="48" t="s">
        <v>643</v>
      </c>
      <c r="B662" s="48" t="s">
        <v>103</v>
      </c>
      <c r="C662" s="48" t="s">
        <v>1039</v>
      </c>
    </row>
    <row r="663" customFormat="false" ht="15.75" hidden="false" customHeight="false" outlineLevel="0" collapsed="false">
      <c r="A663" s="48" t="s">
        <v>643</v>
      </c>
      <c r="B663" s="48" t="s">
        <v>103</v>
      </c>
      <c r="C663" s="48" t="s">
        <v>1040</v>
      </c>
    </row>
    <row r="664" customFormat="false" ht="15.75" hidden="false" customHeight="false" outlineLevel="0" collapsed="false">
      <c r="A664" s="48" t="s">
        <v>643</v>
      </c>
      <c r="B664" s="48" t="s">
        <v>103</v>
      </c>
      <c r="C664" s="48" t="s">
        <v>1041</v>
      </c>
    </row>
    <row r="665" customFormat="false" ht="15.75" hidden="false" customHeight="false" outlineLevel="0" collapsed="false">
      <c r="A665" s="48" t="s">
        <v>643</v>
      </c>
      <c r="B665" s="48" t="s">
        <v>103</v>
      </c>
      <c r="C665" s="48" t="s">
        <v>1042</v>
      </c>
    </row>
    <row r="666" customFormat="false" ht="15.75" hidden="false" customHeight="false" outlineLevel="0" collapsed="false">
      <c r="A666" s="48" t="s">
        <v>643</v>
      </c>
      <c r="B666" s="48" t="s">
        <v>103</v>
      </c>
      <c r="C666" s="48" t="s">
        <v>1043</v>
      </c>
    </row>
    <row r="667" customFormat="false" ht="15.75" hidden="false" customHeight="false" outlineLevel="0" collapsed="false">
      <c r="A667" s="48" t="s">
        <v>643</v>
      </c>
      <c r="B667" s="48" t="s">
        <v>103</v>
      </c>
      <c r="C667" s="48" t="s">
        <v>1044</v>
      </c>
    </row>
    <row r="668" customFormat="false" ht="15.75" hidden="false" customHeight="false" outlineLevel="0" collapsed="false">
      <c r="A668" s="48" t="s">
        <v>643</v>
      </c>
      <c r="B668" s="48" t="s">
        <v>103</v>
      </c>
      <c r="C668" s="48" t="s">
        <v>1045</v>
      </c>
    </row>
    <row r="669" customFormat="false" ht="15.75" hidden="false" customHeight="false" outlineLevel="0" collapsed="false">
      <c r="A669" s="48" t="s">
        <v>643</v>
      </c>
      <c r="B669" s="48" t="s">
        <v>103</v>
      </c>
      <c r="C669" s="48" t="s">
        <v>1046</v>
      </c>
    </row>
    <row r="670" customFormat="false" ht="15.75" hidden="false" customHeight="false" outlineLevel="0" collapsed="false">
      <c r="A670" s="48" t="s">
        <v>643</v>
      </c>
      <c r="B670" s="48" t="s">
        <v>103</v>
      </c>
      <c r="C670" s="48" t="s">
        <v>1047</v>
      </c>
    </row>
    <row r="671" customFormat="false" ht="15.75" hidden="false" customHeight="false" outlineLevel="0" collapsed="false">
      <c r="A671" s="48" t="s">
        <v>643</v>
      </c>
      <c r="B671" s="48" t="s">
        <v>103</v>
      </c>
      <c r="C671" s="48" t="s">
        <v>1048</v>
      </c>
    </row>
    <row r="672" customFormat="false" ht="15.75" hidden="false" customHeight="false" outlineLevel="0" collapsed="false">
      <c r="A672" s="48" t="s">
        <v>643</v>
      </c>
      <c r="B672" s="48" t="s">
        <v>103</v>
      </c>
      <c r="C672" s="48" t="s">
        <v>1049</v>
      </c>
    </row>
    <row r="673" customFormat="false" ht="15.75" hidden="false" customHeight="false" outlineLevel="0" collapsed="false">
      <c r="A673" s="48" t="s">
        <v>643</v>
      </c>
      <c r="B673" s="48" t="s">
        <v>103</v>
      </c>
      <c r="C673" s="48" t="s">
        <v>1050</v>
      </c>
    </row>
    <row r="674" customFormat="false" ht="15.75" hidden="false" customHeight="false" outlineLevel="0" collapsed="false">
      <c r="A674" s="48" t="s">
        <v>643</v>
      </c>
      <c r="B674" s="48" t="s">
        <v>103</v>
      </c>
      <c r="C674" s="48" t="s">
        <v>1051</v>
      </c>
    </row>
    <row r="675" customFormat="false" ht="15.75" hidden="false" customHeight="false" outlineLevel="0" collapsed="false">
      <c r="A675" s="48" t="s">
        <v>643</v>
      </c>
      <c r="B675" s="48" t="s">
        <v>103</v>
      </c>
      <c r="C675" s="48" t="s">
        <v>1052</v>
      </c>
    </row>
    <row r="676" customFormat="false" ht="15.75" hidden="false" customHeight="false" outlineLevel="0" collapsed="false">
      <c r="A676" s="48" t="s">
        <v>643</v>
      </c>
      <c r="B676" s="48" t="s">
        <v>118</v>
      </c>
      <c r="C676" s="48" t="s">
        <v>1053</v>
      </c>
    </row>
    <row r="677" customFormat="false" ht="15.75" hidden="false" customHeight="false" outlineLevel="0" collapsed="false">
      <c r="A677" s="48" t="s">
        <v>643</v>
      </c>
      <c r="B677" s="48" t="s">
        <v>118</v>
      </c>
      <c r="C677" s="48" t="s">
        <v>1054</v>
      </c>
    </row>
    <row r="678" customFormat="false" ht="15.75" hidden="false" customHeight="false" outlineLevel="0" collapsed="false">
      <c r="A678" s="48" t="s">
        <v>643</v>
      </c>
      <c r="B678" s="48" t="s">
        <v>118</v>
      </c>
      <c r="C678" s="48" t="s">
        <v>1055</v>
      </c>
    </row>
    <row r="679" customFormat="false" ht="15.75" hidden="false" customHeight="false" outlineLevel="0" collapsed="false">
      <c r="A679" s="48" t="s">
        <v>1056</v>
      </c>
      <c r="B679" s="48" t="s">
        <v>151</v>
      </c>
      <c r="C679" s="48" t="s">
        <v>1057</v>
      </c>
    </row>
    <row r="680" customFormat="false" ht="15.75" hidden="false" customHeight="false" outlineLevel="0" collapsed="false">
      <c r="A680" s="48" t="s">
        <v>1056</v>
      </c>
      <c r="B680" s="48" t="s">
        <v>151</v>
      </c>
      <c r="C680" s="48" t="s">
        <v>1058</v>
      </c>
    </row>
    <row r="681" customFormat="false" ht="15.75" hidden="false" customHeight="false" outlineLevel="0" collapsed="false">
      <c r="A681" s="48" t="s">
        <v>1056</v>
      </c>
      <c r="B681" s="48" t="s">
        <v>151</v>
      </c>
      <c r="C681" s="48" t="s">
        <v>1059</v>
      </c>
    </row>
    <row r="682" customFormat="false" ht="15.75" hidden="false" customHeight="false" outlineLevel="0" collapsed="false">
      <c r="A682" s="48" t="s">
        <v>1056</v>
      </c>
      <c r="B682" s="48" t="s">
        <v>151</v>
      </c>
      <c r="C682" s="48" t="s">
        <v>1060</v>
      </c>
    </row>
    <row r="683" customFormat="false" ht="15.75" hidden="false" customHeight="false" outlineLevel="0" collapsed="false">
      <c r="A683" s="48" t="s">
        <v>1056</v>
      </c>
      <c r="B683" s="48" t="s">
        <v>151</v>
      </c>
      <c r="C683" s="48" t="s">
        <v>1061</v>
      </c>
    </row>
    <row r="684" customFormat="false" ht="15.75" hidden="false" customHeight="false" outlineLevel="0" collapsed="false">
      <c r="A684" s="48" t="s">
        <v>1056</v>
      </c>
      <c r="B684" s="48" t="s">
        <v>151</v>
      </c>
      <c r="C684" s="48" t="s">
        <v>1062</v>
      </c>
    </row>
    <row r="685" customFormat="false" ht="15.75" hidden="false" customHeight="false" outlineLevel="0" collapsed="false">
      <c r="A685" s="48" t="s">
        <v>1056</v>
      </c>
      <c r="B685" s="48" t="s">
        <v>151</v>
      </c>
      <c r="C685" s="48" t="s">
        <v>1063</v>
      </c>
    </row>
    <row r="686" customFormat="false" ht="15.75" hidden="false" customHeight="false" outlineLevel="0" collapsed="false">
      <c r="A686" s="48" t="s">
        <v>1056</v>
      </c>
      <c r="B686" s="48" t="s">
        <v>151</v>
      </c>
      <c r="C686" s="48" t="s">
        <v>1064</v>
      </c>
    </row>
    <row r="687" customFormat="false" ht="15.75" hidden="false" customHeight="false" outlineLevel="0" collapsed="false">
      <c r="A687" s="48" t="s">
        <v>1056</v>
      </c>
      <c r="B687" s="48" t="s">
        <v>151</v>
      </c>
      <c r="C687" s="48" t="s">
        <v>1065</v>
      </c>
    </row>
    <row r="688" customFormat="false" ht="15.75" hidden="false" customHeight="false" outlineLevel="0" collapsed="false">
      <c r="A688" s="48" t="s">
        <v>1056</v>
      </c>
      <c r="B688" s="48" t="s">
        <v>151</v>
      </c>
      <c r="C688" s="48" t="s">
        <v>1066</v>
      </c>
    </row>
    <row r="689" customFormat="false" ht="15.75" hidden="false" customHeight="false" outlineLevel="0" collapsed="false">
      <c r="A689" s="48" t="s">
        <v>1056</v>
      </c>
      <c r="B689" s="48" t="s">
        <v>151</v>
      </c>
      <c r="C689" s="48" t="s">
        <v>1067</v>
      </c>
    </row>
    <row r="690" customFormat="false" ht="15.75" hidden="false" customHeight="false" outlineLevel="0" collapsed="false">
      <c r="A690" s="48" t="s">
        <v>1056</v>
      </c>
      <c r="B690" s="48" t="s">
        <v>151</v>
      </c>
      <c r="C690" s="48" t="s">
        <v>776</v>
      </c>
    </row>
    <row r="691" customFormat="false" ht="15.75" hidden="false" customHeight="false" outlineLevel="0" collapsed="false">
      <c r="A691" s="48" t="s">
        <v>1056</v>
      </c>
      <c r="B691" s="48" t="s">
        <v>151</v>
      </c>
      <c r="C691" s="48" t="s">
        <v>1036</v>
      </c>
    </row>
    <row r="692" customFormat="false" ht="15.75" hidden="false" customHeight="false" outlineLevel="0" collapsed="false">
      <c r="A692" s="48" t="s">
        <v>1056</v>
      </c>
      <c r="B692" s="48" t="s">
        <v>151</v>
      </c>
      <c r="C692" s="48" t="s">
        <v>1068</v>
      </c>
    </row>
    <row r="693" customFormat="false" ht="15.75" hidden="false" customHeight="false" outlineLevel="0" collapsed="false">
      <c r="A693" s="48" t="s">
        <v>1056</v>
      </c>
      <c r="B693" s="48" t="s">
        <v>151</v>
      </c>
      <c r="C693" s="48" t="s">
        <v>1069</v>
      </c>
    </row>
    <row r="694" customFormat="false" ht="15.75" hidden="false" customHeight="false" outlineLevel="0" collapsed="false">
      <c r="A694" s="48" t="s">
        <v>1056</v>
      </c>
      <c r="B694" s="48" t="s">
        <v>151</v>
      </c>
      <c r="C694" s="48" t="s">
        <v>1070</v>
      </c>
    </row>
    <row r="695" customFormat="false" ht="15.75" hidden="false" customHeight="false" outlineLevel="0" collapsed="false">
      <c r="A695" s="48" t="s">
        <v>1056</v>
      </c>
      <c r="B695" s="48" t="s">
        <v>151</v>
      </c>
      <c r="C695" s="48" t="s">
        <v>1071</v>
      </c>
    </row>
    <row r="696" customFormat="false" ht="15.75" hidden="false" customHeight="false" outlineLevel="0" collapsed="false">
      <c r="A696" s="48" t="s">
        <v>1056</v>
      </c>
      <c r="B696" s="48" t="s">
        <v>151</v>
      </c>
      <c r="C696" s="48" t="s">
        <v>775</v>
      </c>
    </row>
    <row r="697" customFormat="false" ht="15.75" hidden="false" customHeight="false" outlineLevel="0" collapsed="false">
      <c r="A697" s="48" t="s">
        <v>1056</v>
      </c>
      <c r="B697" s="48" t="s">
        <v>151</v>
      </c>
      <c r="C697" s="48" t="s">
        <v>1072</v>
      </c>
    </row>
    <row r="698" customFormat="false" ht="15.75" hidden="false" customHeight="false" outlineLevel="0" collapsed="false">
      <c r="A698" s="48" t="s">
        <v>1056</v>
      </c>
      <c r="B698" s="48" t="s">
        <v>151</v>
      </c>
      <c r="C698" s="48" t="s">
        <v>1073</v>
      </c>
    </row>
    <row r="699" customFormat="false" ht="15.75" hidden="false" customHeight="false" outlineLevel="0" collapsed="false">
      <c r="A699" s="48" t="s">
        <v>1056</v>
      </c>
      <c r="B699" s="48" t="s">
        <v>151</v>
      </c>
      <c r="C699" s="48" t="s">
        <v>1074</v>
      </c>
    </row>
    <row r="700" customFormat="false" ht="15.75" hidden="false" customHeight="false" outlineLevel="0" collapsed="false">
      <c r="A700" s="48" t="s">
        <v>1056</v>
      </c>
      <c r="B700" s="48" t="s">
        <v>151</v>
      </c>
      <c r="C700" s="48" t="s">
        <v>1075</v>
      </c>
    </row>
    <row r="701" customFormat="false" ht="15.75" hidden="false" customHeight="false" outlineLevel="0" collapsed="false">
      <c r="A701" s="48" t="s">
        <v>1056</v>
      </c>
      <c r="B701" s="48" t="s">
        <v>151</v>
      </c>
      <c r="C701" s="48" t="s">
        <v>1076</v>
      </c>
    </row>
    <row r="702" customFormat="false" ht="15.75" hidden="false" customHeight="false" outlineLevel="0" collapsed="false">
      <c r="A702" s="48" t="s">
        <v>1056</v>
      </c>
      <c r="B702" s="48" t="s">
        <v>151</v>
      </c>
      <c r="C702" s="48" t="s">
        <v>1077</v>
      </c>
    </row>
    <row r="703" customFormat="false" ht="15.75" hidden="false" customHeight="false" outlineLevel="0" collapsed="false">
      <c r="A703" s="48" t="s">
        <v>1056</v>
      </c>
      <c r="B703" s="48" t="s">
        <v>151</v>
      </c>
      <c r="C703" s="48" t="s">
        <v>1078</v>
      </c>
    </row>
    <row r="704" customFormat="false" ht="15.75" hidden="false" customHeight="false" outlineLevel="0" collapsed="false">
      <c r="A704" s="48" t="s">
        <v>1056</v>
      </c>
      <c r="B704" s="48" t="s">
        <v>151</v>
      </c>
      <c r="C704" s="48" t="s">
        <v>1079</v>
      </c>
    </row>
    <row r="705" customFormat="false" ht="15.75" hidden="false" customHeight="false" outlineLevel="0" collapsed="false">
      <c r="A705" s="48" t="s">
        <v>1056</v>
      </c>
      <c r="B705" s="48" t="s">
        <v>151</v>
      </c>
      <c r="C705" s="48" t="s">
        <v>1080</v>
      </c>
    </row>
    <row r="706" customFormat="false" ht="15.75" hidden="false" customHeight="false" outlineLevel="0" collapsed="false">
      <c r="A706" s="48" t="s">
        <v>1056</v>
      </c>
      <c r="B706" s="48" t="s">
        <v>151</v>
      </c>
      <c r="C706" s="48" t="s">
        <v>1081</v>
      </c>
    </row>
    <row r="707" customFormat="false" ht="15.75" hidden="false" customHeight="false" outlineLevel="0" collapsed="false">
      <c r="A707" s="48" t="s">
        <v>1056</v>
      </c>
      <c r="B707" s="48" t="s">
        <v>156</v>
      </c>
      <c r="C707" s="48" t="s">
        <v>1082</v>
      </c>
    </row>
    <row r="708" customFormat="false" ht="15.75" hidden="false" customHeight="false" outlineLevel="0" collapsed="false">
      <c r="A708" s="48" t="s">
        <v>1056</v>
      </c>
      <c r="B708" s="48" t="s">
        <v>156</v>
      </c>
      <c r="C708" s="48" t="s">
        <v>1083</v>
      </c>
    </row>
    <row r="709" customFormat="false" ht="15.75" hidden="false" customHeight="false" outlineLevel="0" collapsed="false">
      <c r="A709" s="48" t="s">
        <v>1056</v>
      </c>
      <c r="B709" s="48" t="s">
        <v>156</v>
      </c>
      <c r="C709" s="48" t="s">
        <v>1084</v>
      </c>
    </row>
    <row r="710" customFormat="false" ht="15.75" hidden="false" customHeight="false" outlineLevel="0" collapsed="false">
      <c r="A710" s="48" t="s">
        <v>1056</v>
      </c>
      <c r="B710" s="48" t="s">
        <v>156</v>
      </c>
      <c r="C710" s="48" t="s">
        <v>1085</v>
      </c>
    </row>
    <row r="711" customFormat="false" ht="15.75" hidden="false" customHeight="false" outlineLevel="0" collapsed="false">
      <c r="A711" s="48" t="s">
        <v>1056</v>
      </c>
      <c r="B711" s="48" t="s">
        <v>156</v>
      </c>
      <c r="C711" s="48" t="s">
        <v>1086</v>
      </c>
    </row>
    <row r="712" customFormat="false" ht="15.75" hidden="false" customHeight="false" outlineLevel="0" collapsed="false">
      <c r="A712" s="48" t="s">
        <v>1056</v>
      </c>
      <c r="B712" s="48" t="s">
        <v>156</v>
      </c>
      <c r="C712" s="48" t="s">
        <v>1087</v>
      </c>
    </row>
    <row r="713" customFormat="false" ht="15.75" hidden="false" customHeight="false" outlineLevel="0" collapsed="false">
      <c r="A713" s="48" t="s">
        <v>1056</v>
      </c>
      <c r="B713" s="48" t="s">
        <v>156</v>
      </c>
      <c r="C713" s="48" t="s">
        <v>1088</v>
      </c>
    </row>
    <row r="714" customFormat="false" ht="15.75" hidden="false" customHeight="false" outlineLevel="0" collapsed="false">
      <c r="A714" s="48" t="s">
        <v>1056</v>
      </c>
      <c r="B714" s="48" t="s">
        <v>156</v>
      </c>
      <c r="C714" s="48" t="s">
        <v>1089</v>
      </c>
    </row>
    <row r="715" customFormat="false" ht="15.75" hidden="false" customHeight="false" outlineLevel="0" collapsed="false">
      <c r="A715" s="48" t="s">
        <v>1056</v>
      </c>
      <c r="B715" s="48" t="s">
        <v>156</v>
      </c>
      <c r="C715" s="48" t="s">
        <v>1090</v>
      </c>
    </row>
    <row r="716" customFormat="false" ht="15.75" hidden="false" customHeight="false" outlineLevel="0" collapsed="false">
      <c r="A716" s="48" t="s">
        <v>1056</v>
      </c>
      <c r="B716" s="48" t="s">
        <v>156</v>
      </c>
      <c r="C716" s="48" t="s">
        <v>1091</v>
      </c>
    </row>
    <row r="717" customFormat="false" ht="15.75" hidden="false" customHeight="false" outlineLevel="0" collapsed="false">
      <c r="A717" s="48" t="s">
        <v>1056</v>
      </c>
      <c r="B717" s="48" t="s">
        <v>156</v>
      </c>
      <c r="C717" s="48" t="s">
        <v>1092</v>
      </c>
    </row>
    <row r="718" customFormat="false" ht="15.75" hidden="false" customHeight="false" outlineLevel="0" collapsed="false">
      <c r="A718" s="48" t="s">
        <v>1056</v>
      </c>
      <c r="B718" s="48" t="s">
        <v>156</v>
      </c>
      <c r="C718" s="48" t="s">
        <v>1093</v>
      </c>
    </row>
    <row r="719" customFormat="false" ht="15.75" hidden="false" customHeight="false" outlineLevel="0" collapsed="false">
      <c r="A719" s="48" t="s">
        <v>1056</v>
      </c>
      <c r="B719" s="48" t="s">
        <v>156</v>
      </c>
      <c r="C719" s="48" t="s">
        <v>1094</v>
      </c>
    </row>
    <row r="720" customFormat="false" ht="15.75" hidden="false" customHeight="false" outlineLevel="0" collapsed="false">
      <c r="A720" s="48" t="s">
        <v>1056</v>
      </c>
      <c r="B720" s="48" t="s">
        <v>156</v>
      </c>
      <c r="C720" s="48" t="s">
        <v>649</v>
      </c>
    </row>
    <row r="721" customFormat="false" ht="15.75" hidden="false" customHeight="false" outlineLevel="0" collapsed="false">
      <c r="A721" s="48" t="s">
        <v>1056</v>
      </c>
      <c r="B721" s="48" t="s">
        <v>156</v>
      </c>
      <c r="C721" s="48" t="s">
        <v>1095</v>
      </c>
    </row>
    <row r="722" customFormat="false" ht="15.75" hidden="false" customHeight="false" outlineLevel="0" collapsed="false">
      <c r="A722" s="48" t="s">
        <v>1056</v>
      </c>
      <c r="B722" s="48" t="s">
        <v>156</v>
      </c>
      <c r="C722" s="48" t="s">
        <v>1096</v>
      </c>
    </row>
    <row r="723" customFormat="false" ht="15.75" hidden="false" customHeight="false" outlineLevel="0" collapsed="false">
      <c r="A723" s="48" t="s">
        <v>1056</v>
      </c>
      <c r="B723" s="48" t="s">
        <v>156</v>
      </c>
      <c r="C723" s="48" t="s">
        <v>1097</v>
      </c>
    </row>
    <row r="724" customFormat="false" ht="15.75" hidden="false" customHeight="false" outlineLevel="0" collapsed="false">
      <c r="A724" s="48" t="s">
        <v>1056</v>
      </c>
      <c r="B724" s="48" t="s">
        <v>156</v>
      </c>
      <c r="C724" s="48" t="s">
        <v>1098</v>
      </c>
    </row>
    <row r="725" customFormat="false" ht="15.75" hidden="false" customHeight="false" outlineLevel="0" collapsed="false">
      <c r="A725" s="48" t="s">
        <v>1056</v>
      </c>
      <c r="B725" s="48" t="s">
        <v>156</v>
      </c>
      <c r="C725" s="48" t="s">
        <v>1099</v>
      </c>
    </row>
    <row r="726" customFormat="false" ht="15.75" hidden="false" customHeight="false" outlineLevel="0" collapsed="false">
      <c r="A726" s="48" t="s">
        <v>1056</v>
      </c>
      <c r="B726" s="48" t="s">
        <v>156</v>
      </c>
      <c r="C726" s="48" t="s">
        <v>1100</v>
      </c>
    </row>
    <row r="727" customFormat="false" ht="15.75" hidden="false" customHeight="false" outlineLevel="0" collapsed="false">
      <c r="A727" s="48" t="s">
        <v>1056</v>
      </c>
      <c r="B727" s="48" t="s">
        <v>156</v>
      </c>
      <c r="C727" s="48" t="s">
        <v>1101</v>
      </c>
    </row>
    <row r="728" customFormat="false" ht="15.75" hidden="false" customHeight="false" outlineLevel="0" collapsed="false">
      <c r="A728" s="48" t="s">
        <v>1056</v>
      </c>
      <c r="B728" s="48" t="s">
        <v>156</v>
      </c>
      <c r="C728" s="48" t="s">
        <v>1102</v>
      </c>
    </row>
    <row r="729" customFormat="false" ht="15.75" hidden="false" customHeight="false" outlineLevel="0" collapsed="false">
      <c r="A729" s="48" t="s">
        <v>1056</v>
      </c>
      <c r="B729" s="48" t="s">
        <v>156</v>
      </c>
      <c r="C729" s="48" t="s">
        <v>1103</v>
      </c>
    </row>
    <row r="730" customFormat="false" ht="15.75" hidden="false" customHeight="false" outlineLevel="0" collapsed="false">
      <c r="A730" s="48" t="s">
        <v>1056</v>
      </c>
      <c r="B730" s="48" t="s">
        <v>156</v>
      </c>
      <c r="C730" s="48" t="s">
        <v>1104</v>
      </c>
    </row>
    <row r="731" customFormat="false" ht="15.75" hidden="false" customHeight="false" outlineLevel="0" collapsed="false">
      <c r="A731" s="48" t="s">
        <v>1056</v>
      </c>
      <c r="B731" s="48" t="s">
        <v>156</v>
      </c>
      <c r="C731" s="48" t="s">
        <v>1105</v>
      </c>
    </row>
    <row r="732" customFormat="false" ht="15.75" hidden="false" customHeight="false" outlineLevel="0" collapsed="false">
      <c r="A732" s="48" t="s">
        <v>1056</v>
      </c>
      <c r="B732" s="48" t="s">
        <v>156</v>
      </c>
      <c r="C732" s="48" t="s">
        <v>1106</v>
      </c>
    </row>
    <row r="733" customFormat="false" ht="15.75" hidden="false" customHeight="false" outlineLevel="0" collapsed="false">
      <c r="A733" s="48" t="s">
        <v>1056</v>
      </c>
      <c r="B733" s="48" t="s">
        <v>156</v>
      </c>
      <c r="C733" s="48" t="s">
        <v>1107</v>
      </c>
    </row>
    <row r="734" customFormat="false" ht="15.75" hidden="false" customHeight="false" outlineLevel="0" collapsed="false">
      <c r="A734" s="48" t="s">
        <v>1056</v>
      </c>
      <c r="B734" s="48" t="s">
        <v>156</v>
      </c>
      <c r="C734" s="48" t="s">
        <v>1108</v>
      </c>
    </row>
    <row r="735" customFormat="false" ht="15.75" hidden="false" customHeight="false" outlineLevel="0" collapsed="false">
      <c r="A735" s="48" t="s">
        <v>1056</v>
      </c>
      <c r="B735" s="48" t="s">
        <v>156</v>
      </c>
      <c r="C735" s="48" t="s">
        <v>1109</v>
      </c>
    </row>
    <row r="736" customFormat="false" ht="15.75" hidden="false" customHeight="false" outlineLevel="0" collapsed="false">
      <c r="A736" s="48" t="s">
        <v>1056</v>
      </c>
      <c r="B736" s="48" t="s">
        <v>156</v>
      </c>
      <c r="C736" s="48" t="s">
        <v>1083</v>
      </c>
    </row>
    <row r="737" customFormat="false" ht="15.75" hidden="false" customHeight="false" outlineLevel="0" collapsed="false">
      <c r="A737" s="48" t="s">
        <v>1056</v>
      </c>
      <c r="B737" s="48" t="s">
        <v>156</v>
      </c>
      <c r="C737" s="48" t="s">
        <v>1110</v>
      </c>
    </row>
    <row r="738" customFormat="false" ht="15.75" hidden="false" customHeight="false" outlineLevel="0" collapsed="false">
      <c r="A738" s="48" t="s">
        <v>1056</v>
      </c>
      <c r="B738" s="48" t="s">
        <v>156</v>
      </c>
      <c r="C738" s="48" t="s">
        <v>1111</v>
      </c>
    </row>
    <row r="739" customFormat="false" ht="15.75" hidden="false" customHeight="false" outlineLevel="0" collapsed="false">
      <c r="A739" s="48" t="s">
        <v>1056</v>
      </c>
      <c r="B739" s="48" t="s">
        <v>156</v>
      </c>
      <c r="C739" s="48" t="s">
        <v>1112</v>
      </c>
    </row>
    <row r="740" customFormat="false" ht="15.75" hidden="false" customHeight="false" outlineLevel="0" collapsed="false">
      <c r="A740" s="48" t="s">
        <v>1056</v>
      </c>
      <c r="B740" s="48" t="s">
        <v>156</v>
      </c>
      <c r="C740" s="48" t="s">
        <v>1113</v>
      </c>
    </row>
    <row r="741" customFormat="false" ht="15.75" hidden="false" customHeight="false" outlineLevel="0" collapsed="false">
      <c r="A741" s="48" t="s">
        <v>1056</v>
      </c>
      <c r="B741" s="48" t="s">
        <v>156</v>
      </c>
      <c r="C741" s="48" t="s">
        <v>1114</v>
      </c>
    </row>
    <row r="742" customFormat="false" ht="15.75" hidden="false" customHeight="false" outlineLevel="0" collapsed="false">
      <c r="A742" s="48" t="s">
        <v>1056</v>
      </c>
      <c r="B742" s="48" t="s">
        <v>156</v>
      </c>
      <c r="C742" s="48" t="s">
        <v>1115</v>
      </c>
    </row>
    <row r="743" customFormat="false" ht="15.75" hidden="false" customHeight="false" outlineLevel="0" collapsed="false">
      <c r="A743" s="48" t="s">
        <v>1056</v>
      </c>
      <c r="B743" s="48" t="s">
        <v>156</v>
      </c>
      <c r="C743" s="48" t="s">
        <v>1116</v>
      </c>
    </row>
    <row r="744" customFormat="false" ht="15.75" hidden="false" customHeight="false" outlineLevel="0" collapsed="false">
      <c r="A744" s="48" t="s">
        <v>1056</v>
      </c>
      <c r="B744" s="48" t="s">
        <v>156</v>
      </c>
      <c r="C744" s="48" t="s">
        <v>1117</v>
      </c>
    </row>
    <row r="745" customFormat="false" ht="15.75" hidden="false" customHeight="false" outlineLevel="0" collapsed="false">
      <c r="A745" s="48" t="s">
        <v>1056</v>
      </c>
      <c r="B745" s="48" t="s">
        <v>156</v>
      </c>
      <c r="C745" s="48" t="s">
        <v>1118</v>
      </c>
    </row>
    <row r="746" customFormat="false" ht="15.75" hidden="false" customHeight="false" outlineLevel="0" collapsed="false">
      <c r="A746" s="48" t="s">
        <v>1056</v>
      </c>
      <c r="B746" s="48" t="s">
        <v>156</v>
      </c>
      <c r="C746" s="48" t="s">
        <v>1119</v>
      </c>
    </row>
    <row r="747" customFormat="false" ht="15.75" hidden="false" customHeight="false" outlineLevel="0" collapsed="false">
      <c r="A747" s="48" t="s">
        <v>1056</v>
      </c>
      <c r="B747" s="48" t="s">
        <v>156</v>
      </c>
      <c r="C747" s="48" t="s">
        <v>1120</v>
      </c>
    </row>
    <row r="748" customFormat="false" ht="15.75" hidden="false" customHeight="false" outlineLevel="0" collapsed="false">
      <c r="A748" s="48" t="s">
        <v>1056</v>
      </c>
      <c r="B748" s="48" t="s">
        <v>156</v>
      </c>
      <c r="C748" s="48" t="s">
        <v>1121</v>
      </c>
    </row>
    <row r="749" customFormat="false" ht="15.75" hidden="false" customHeight="false" outlineLevel="0" collapsed="false">
      <c r="A749" s="48" t="s">
        <v>1056</v>
      </c>
      <c r="B749" s="48" t="s">
        <v>156</v>
      </c>
      <c r="C749" s="48" t="s">
        <v>1122</v>
      </c>
    </row>
    <row r="750" customFormat="false" ht="15.75" hidden="false" customHeight="false" outlineLevel="0" collapsed="false">
      <c r="A750" s="48" t="s">
        <v>1056</v>
      </c>
      <c r="B750" s="48" t="s">
        <v>156</v>
      </c>
      <c r="C750" s="48" t="s">
        <v>1123</v>
      </c>
    </row>
    <row r="751" customFormat="false" ht="15.75" hidden="false" customHeight="false" outlineLevel="0" collapsed="false">
      <c r="A751" s="48" t="s">
        <v>1056</v>
      </c>
      <c r="B751" s="48" t="s">
        <v>156</v>
      </c>
      <c r="C751" s="48" t="s">
        <v>1124</v>
      </c>
    </row>
    <row r="752" customFormat="false" ht="15.75" hidden="false" customHeight="false" outlineLevel="0" collapsed="false">
      <c r="A752" s="48" t="s">
        <v>1056</v>
      </c>
      <c r="B752" s="48" t="s">
        <v>159</v>
      </c>
      <c r="C752" s="48" t="s">
        <v>1125</v>
      </c>
    </row>
    <row r="753" customFormat="false" ht="15.75" hidden="false" customHeight="false" outlineLevel="0" collapsed="false">
      <c r="A753" s="48" t="s">
        <v>1056</v>
      </c>
      <c r="B753" s="48" t="s">
        <v>159</v>
      </c>
      <c r="C753" s="48" t="s">
        <v>1126</v>
      </c>
    </row>
    <row r="754" customFormat="false" ht="15.75" hidden="false" customHeight="false" outlineLevel="0" collapsed="false">
      <c r="A754" s="48" t="s">
        <v>1056</v>
      </c>
      <c r="B754" s="48" t="s">
        <v>159</v>
      </c>
      <c r="C754" s="48" t="s">
        <v>1127</v>
      </c>
    </row>
    <row r="755" customFormat="false" ht="15.75" hidden="false" customHeight="false" outlineLevel="0" collapsed="false">
      <c r="A755" s="48" t="s">
        <v>1056</v>
      </c>
      <c r="B755" s="48" t="s">
        <v>159</v>
      </c>
      <c r="C755" s="48" t="s">
        <v>721</v>
      </c>
    </row>
    <row r="756" customFormat="false" ht="15.75" hidden="false" customHeight="false" outlineLevel="0" collapsed="false">
      <c r="A756" s="48" t="s">
        <v>1056</v>
      </c>
      <c r="B756" s="48" t="s">
        <v>159</v>
      </c>
      <c r="C756" s="48" t="s">
        <v>1128</v>
      </c>
    </row>
    <row r="757" customFormat="false" ht="15.75" hidden="false" customHeight="false" outlineLevel="0" collapsed="false">
      <c r="A757" s="48" t="s">
        <v>1056</v>
      </c>
      <c r="B757" s="48" t="s">
        <v>159</v>
      </c>
      <c r="C757" s="48" t="s">
        <v>713</v>
      </c>
    </row>
    <row r="758" customFormat="false" ht="15.75" hidden="false" customHeight="false" outlineLevel="0" collapsed="false">
      <c r="A758" s="48" t="s">
        <v>1056</v>
      </c>
      <c r="B758" s="48" t="s">
        <v>159</v>
      </c>
      <c r="C758" s="48" t="s">
        <v>1129</v>
      </c>
    </row>
    <row r="759" customFormat="false" ht="15.75" hidden="false" customHeight="false" outlineLevel="0" collapsed="false">
      <c r="A759" s="48" t="s">
        <v>1056</v>
      </c>
      <c r="B759" s="48" t="s">
        <v>159</v>
      </c>
      <c r="C759" s="48" t="s">
        <v>1130</v>
      </c>
    </row>
    <row r="760" customFormat="false" ht="15.75" hidden="false" customHeight="false" outlineLevel="0" collapsed="false">
      <c r="A760" s="48" t="s">
        <v>1056</v>
      </c>
      <c r="B760" s="48" t="s">
        <v>159</v>
      </c>
      <c r="C760" s="48" t="s">
        <v>1131</v>
      </c>
    </row>
    <row r="761" customFormat="false" ht="15.75" hidden="false" customHeight="false" outlineLevel="0" collapsed="false">
      <c r="A761" s="48" t="s">
        <v>1056</v>
      </c>
      <c r="B761" s="48" t="s">
        <v>159</v>
      </c>
      <c r="C761" s="48" t="s">
        <v>1132</v>
      </c>
    </row>
    <row r="762" customFormat="false" ht="15.75" hidden="false" customHeight="false" outlineLevel="0" collapsed="false">
      <c r="A762" s="48" t="s">
        <v>1056</v>
      </c>
      <c r="B762" s="48" t="s">
        <v>159</v>
      </c>
      <c r="C762" s="48" t="s">
        <v>1133</v>
      </c>
    </row>
    <row r="763" customFormat="false" ht="15.75" hidden="false" customHeight="false" outlineLevel="0" collapsed="false">
      <c r="A763" s="48" t="s">
        <v>1056</v>
      </c>
      <c r="B763" s="48" t="s">
        <v>159</v>
      </c>
      <c r="C763" s="48" t="s">
        <v>1134</v>
      </c>
    </row>
    <row r="764" customFormat="false" ht="15.75" hidden="false" customHeight="false" outlineLevel="0" collapsed="false">
      <c r="A764" s="48" t="s">
        <v>1056</v>
      </c>
      <c r="B764" s="48" t="s">
        <v>159</v>
      </c>
      <c r="C764" s="48" t="s">
        <v>1135</v>
      </c>
    </row>
    <row r="765" customFormat="false" ht="15.75" hidden="false" customHeight="false" outlineLevel="0" collapsed="false">
      <c r="A765" s="48" t="s">
        <v>1056</v>
      </c>
      <c r="B765" s="48" t="s">
        <v>159</v>
      </c>
      <c r="C765" s="48" t="s">
        <v>907</v>
      </c>
    </row>
    <row r="766" customFormat="false" ht="15.75" hidden="false" customHeight="false" outlineLevel="0" collapsed="false">
      <c r="A766" s="48" t="s">
        <v>1056</v>
      </c>
      <c r="B766" s="48" t="s">
        <v>159</v>
      </c>
      <c r="C766" s="48" t="s">
        <v>1136</v>
      </c>
    </row>
    <row r="767" customFormat="false" ht="15.75" hidden="false" customHeight="false" outlineLevel="0" collapsed="false">
      <c r="A767" s="48" t="s">
        <v>1056</v>
      </c>
      <c r="B767" s="48" t="s">
        <v>159</v>
      </c>
      <c r="C767" s="48" t="s">
        <v>1137</v>
      </c>
    </row>
    <row r="768" customFormat="false" ht="15.75" hidden="false" customHeight="false" outlineLevel="0" collapsed="false">
      <c r="A768" s="48" t="s">
        <v>1056</v>
      </c>
      <c r="B768" s="48" t="s">
        <v>159</v>
      </c>
      <c r="C768" s="48" t="s">
        <v>1138</v>
      </c>
    </row>
    <row r="769" customFormat="false" ht="15.75" hidden="false" customHeight="false" outlineLevel="0" collapsed="false">
      <c r="A769" s="48" t="s">
        <v>1056</v>
      </c>
      <c r="B769" s="48" t="s">
        <v>159</v>
      </c>
      <c r="C769" s="48" t="s">
        <v>1139</v>
      </c>
    </row>
    <row r="770" customFormat="false" ht="15.75" hidden="false" customHeight="false" outlineLevel="0" collapsed="false">
      <c r="A770" s="48" t="s">
        <v>1056</v>
      </c>
      <c r="B770" s="48" t="s">
        <v>159</v>
      </c>
      <c r="C770" s="48" t="s">
        <v>644</v>
      </c>
    </row>
    <row r="771" customFormat="false" ht="15.75" hidden="false" customHeight="false" outlineLevel="0" collapsed="false">
      <c r="A771" s="48" t="s">
        <v>1056</v>
      </c>
      <c r="B771" s="48" t="s">
        <v>159</v>
      </c>
      <c r="C771" s="48" t="s">
        <v>1140</v>
      </c>
    </row>
    <row r="772" customFormat="false" ht="15.75" hidden="false" customHeight="false" outlineLevel="0" collapsed="false">
      <c r="A772" s="48" t="s">
        <v>1056</v>
      </c>
      <c r="B772" s="48" t="s">
        <v>159</v>
      </c>
      <c r="C772" s="48" t="s">
        <v>1141</v>
      </c>
    </row>
    <row r="773" customFormat="false" ht="15.75" hidden="false" customHeight="false" outlineLevel="0" collapsed="false">
      <c r="A773" s="48" t="s">
        <v>1056</v>
      </c>
      <c r="B773" s="48" t="s">
        <v>159</v>
      </c>
      <c r="C773" s="48" t="s">
        <v>1142</v>
      </c>
    </row>
    <row r="774" customFormat="false" ht="15.75" hidden="false" customHeight="false" outlineLevel="0" collapsed="false">
      <c r="A774" s="48" t="s">
        <v>1056</v>
      </c>
      <c r="B774" s="48" t="s">
        <v>159</v>
      </c>
      <c r="C774" s="48" t="s">
        <v>1143</v>
      </c>
    </row>
    <row r="775" customFormat="false" ht="15.75" hidden="false" customHeight="false" outlineLevel="0" collapsed="false">
      <c r="A775" s="48" t="s">
        <v>1056</v>
      </c>
      <c r="B775" s="48" t="s">
        <v>159</v>
      </c>
      <c r="C775" s="48" t="s">
        <v>1144</v>
      </c>
    </row>
    <row r="776" customFormat="false" ht="15.75" hidden="false" customHeight="false" outlineLevel="0" collapsed="false">
      <c r="A776" s="48" t="s">
        <v>1056</v>
      </c>
      <c r="B776" s="48" t="s">
        <v>159</v>
      </c>
      <c r="C776" s="48" t="s">
        <v>1145</v>
      </c>
    </row>
    <row r="777" customFormat="false" ht="15.75" hidden="false" customHeight="false" outlineLevel="0" collapsed="false">
      <c r="A777" s="48" t="s">
        <v>1056</v>
      </c>
      <c r="B777" s="48" t="s">
        <v>159</v>
      </c>
      <c r="C777" s="48" t="s">
        <v>1146</v>
      </c>
    </row>
    <row r="778" customFormat="false" ht="15.75" hidden="false" customHeight="false" outlineLevel="0" collapsed="false">
      <c r="A778" s="48" t="s">
        <v>1056</v>
      </c>
      <c r="B778" s="48" t="s">
        <v>159</v>
      </c>
      <c r="C778" s="48" t="s">
        <v>1147</v>
      </c>
    </row>
    <row r="779" customFormat="false" ht="15.75" hidden="false" customHeight="false" outlineLevel="0" collapsed="false">
      <c r="A779" s="48" t="s">
        <v>1056</v>
      </c>
      <c r="B779" s="48" t="s">
        <v>159</v>
      </c>
      <c r="C779" s="48" t="s">
        <v>1148</v>
      </c>
    </row>
    <row r="780" customFormat="false" ht="15.75" hidden="false" customHeight="false" outlineLevel="0" collapsed="false">
      <c r="A780" s="48" t="s">
        <v>1056</v>
      </c>
      <c r="B780" s="48" t="s">
        <v>159</v>
      </c>
      <c r="C780" s="48" t="s">
        <v>1149</v>
      </c>
    </row>
    <row r="781" customFormat="false" ht="15.75" hidden="false" customHeight="false" outlineLevel="0" collapsed="false">
      <c r="A781" s="48" t="s">
        <v>1056</v>
      </c>
      <c r="B781" s="48" t="s">
        <v>159</v>
      </c>
      <c r="C781" s="48" t="s">
        <v>660</v>
      </c>
    </row>
    <row r="782" customFormat="false" ht="15.75" hidden="false" customHeight="false" outlineLevel="0" collapsed="false">
      <c r="A782" s="48" t="s">
        <v>1056</v>
      </c>
      <c r="B782" s="48" t="s">
        <v>159</v>
      </c>
      <c r="C782" s="48" t="s">
        <v>1150</v>
      </c>
    </row>
    <row r="783" customFormat="false" ht="15.75" hidden="false" customHeight="false" outlineLevel="0" collapsed="false">
      <c r="A783" s="48" t="s">
        <v>1056</v>
      </c>
      <c r="B783" s="48" t="s">
        <v>159</v>
      </c>
      <c r="C783" s="48" t="s">
        <v>1151</v>
      </c>
    </row>
    <row r="784" customFormat="false" ht="15.75" hidden="false" customHeight="false" outlineLevel="0" collapsed="false">
      <c r="A784" s="48" t="s">
        <v>1056</v>
      </c>
      <c r="B784" s="48" t="s">
        <v>159</v>
      </c>
      <c r="C784" s="48" t="s">
        <v>1152</v>
      </c>
    </row>
    <row r="785" customFormat="false" ht="15.75" hidden="false" customHeight="false" outlineLevel="0" collapsed="false">
      <c r="A785" s="48" t="s">
        <v>1056</v>
      </c>
      <c r="B785" s="48" t="s">
        <v>159</v>
      </c>
      <c r="C785" s="48" t="s">
        <v>1153</v>
      </c>
    </row>
    <row r="786" customFormat="false" ht="15.75" hidden="false" customHeight="false" outlineLevel="0" collapsed="false">
      <c r="A786" s="48" t="s">
        <v>1056</v>
      </c>
      <c r="B786" s="48" t="s">
        <v>159</v>
      </c>
      <c r="C786" s="48" t="s">
        <v>1154</v>
      </c>
    </row>
    <row r="787" customFormat="false" ht="15.75" hidden="false" customHeight="false" outlineLevel="0" collapsed="false">
      <c r="A787" s="48" t="s">
        <v>1056</v>
      </c>
      <c r="B787" s="48" t="s">
        <v>159</v>
      </c>
      <c r="C787" s="48" t="s">
        <v>1155</v>
      </c>
    </row>
    <row r="788" customFormat="false" ht="15.75" hidden="false" customHeight="false" outlineLevel="0" collapsed="false">
      <c r="A788" s="48" t="s">
        <v>1056</v>
      </c>
      <c r="B788" s="48" t="s">
        <v>159</v>
      </c>
      <c r="C788" s="48" t="s">
        <v>1156</v>
      </c>
    </row>
    <row r="789" customFormat="false" ht="15.75" hidden="false" customHeight="false" outlineLevel="0" collapsed="false">
      <c r="A789" s="48" t="s">
        <v>1056</v>
      </c>
      <c r="B789" s="48" t="s">
        <v>159</v>
      </c>
      <c r="C789" s="48" t="s">
        <v>1157</v>
      </c>
    </row>
    <row r="790" customFormat="false" ht="15.75" hidden="false" customHeight="false" outlineLevel="0" collapsed="false">
      <c r="A790" s="48" t="s">
        <v>1056</v>
      </c>
      <c r="B790" s="48" t="s">
        <v>159</v>
      </c>
      <c r="C790" s="48" t="s">
        <v>1143</v>
      </c>
    </row>
    <row r="791" customFormat="false" ht="15.75" hidden="false" customHeight="false" outlineLevel="0" collapsed="false">
      <c r="A791" s="48" t="s">
        <v>1056</v>
      </c>
      <c r="B791" s="48" t="s">
        <v>159</v>
      </c>
      <c r="C791" s="48" t="s">
        <v>723</v>
      </c>
    </row>
    <row r="792" customFormat="false" ht="15.75" hidden="false" customHeight="false" outlineLevel="0" collapsed="false">
      <c r="A792" s="48" t="s">
        <v>1056</v>
      </c>
      <c r="B792" s="48" t="s">
        <v>159</v>
      </c>
      <c r="C792" s="48" t="s">
        <v>906</v>
      </c>
    </row>
    <row r="793" customFormat="false" ht="15.75" hidden="false" customHeight="false" outlineLevel="0" collapsed="false">
      <c r="A793" s="48" t="s">
        <v>1056</v>
      </c>
      <c r="B793" s="48" t="s">
        <v>159</v>
      </c>
      <c r="C793" s="48" t="s">
        <v>1158</v>
      </c>
    </row>
    <row r="794" customFormat="false" ht="15.75" hidden="false" customHeight="false" outlineLevel="0" collapsed="false">
      <c r="A794" s="48" t="s">
        <v>1056</v>
      </c>
      <c r="B794" s="48" t="s">
        <v>159</v>
      </c>
      <c r="C794" s="48" t="s">
        <v>1159</v>
      </c>
    </row>
    <row r="795" customFormat="false" ht="15.75" hidden="false" customHeight="false" outlineLevel="0" collapsed="false">
      <c r="A795" s="48" t="s">
        <v>1056</v>
      </c>
      <c r="B795" s="48" t="s">
        <v>159</v>
      </c>
      <c r="C795" s="48" t="s">
        <v>1160</v>
      </c>
    </row>
    <row r="796" customFormat="false" ht="15.75" hidden="false" customHeight="false" outlineLevel="0" collapsed="false">
      <c r="A796" s="48" t="s">
        <v>1056</v>
      </c>
      <c r="B796" s="48" t="s">
        <v>159</v>
      </c>
      <c r="C796" s="48" t="s">
        <v>1161</v>
      </c>
    </row>
    <row r="797" customFormat="false" ht="15.75" hidden="false" customHeight="false" outlineLevel="0" collapsed="false">
      <c r="A797" s="48" t="s">
        <v>1056</v>
      </c>
      <c r="B797" s="48" t="s">
        <v>159</v>
      </c>
      <c r="C797" s="48" t="s">
        <v>1162</v>
      </c>
    </row>
    <row r="798" customFormat="false" ht="15.75" hidden="false" customHeight="false" outlineLevel="0" collapsed="false">
      <c r="A798" s="48" t="s">
        <v>1056</v>
      </c>
      <c r="B798" s="48" t="s">
        <v>159</v>
      </c>
      <c r="C798" s="48" t="s">
        <v>1163</v>
      </c>
    </row>
    <row r="799" customFormat="false" ht="15.75" hidden="false" customHeight="false" outlineLevel="0" collapsed="false">
      <c r="A799" s="48" t="s">
        <v>1056</v>
      </c>
      <c r="B799" s="48" t="s">
        <v>159</v>
      </c>
      <c r="C799" s="48" t="s">
        <v>1164</v>
      </c>
    </row>
    <row r="800" customFormat="false" ht="15.75" hidden="false" customHeight="false" outlineLevel="0" collapsed="false">
      <c r="A800" s="48" t="s">
        <v>1056</v>
      </c>
      <c r="B800" s="48" t="s">
        <v>159</v>
      </c>
      <c r="C800" s="48" t="s">
        <v>1165</v>
      </c>
    </row>
    <row r="801" customFormat="false" ht="15.75" hidden="false" customHeight="false" outlineLevel="0" collapsed="false">
      <c r="A801" s="48" t="s">
        <v>1056</v>
      </c>
      <c r="B801" s="48" t="s">
        <v>159</v>
      </c>
      <c r="C801" s="48" t="s">
        <v>707</v>
      </c>
    </row>
    <row r="802" customFormat="false" ht="15.75" hidden="false" customHeight="false" outlineLevel="0" collapsed="false">
      <c r="A802" s="48" t="s">
        <v>1056</v>
      </c>
      <c r="B802" s="48" t="s">
        <v>159</v>
      </c>
      <c r="C802" s="48" t="s">
        <v>1166</v>
      </c>
    </row>
    <row r="803" customFormat="false" ht="15.75" hidden="false" customHeight="false" outlineLevel="0" collapsed="false">
      <c r="A803" s="48" t="s">
        <v>1056</v>
      </c>
      <c r="B803" s="48" t="s">
        <v>159</v>
      </c>
      <c r="C803" s="48" t="s">
        <v>1167</v>
      </c>
    </row>
    <row r="804" customFormat="false" ht="15.75" hidden="false" customHeight="false" outlineLevel="0" collapsed="false">
      <c r="A804" s="48" t="s">
        <v>1056</v>
      </c>
      <c r="B804" s="48" t="s">
        <v>159</v>
      </c>
      <c r="C804" s="48" t="s">
        <v>702</v>
      </c>
    </row>
    <row r="805" customFormat="false" ht="15.75" hidden="false" customHeight="false" outlineLevel="0" collapsed="false">
      <c r="A805" s="48" t="s">
        <v>1056</v>
      </c>
      <c r="B805" s="48" t="s">
        <v>159</v>
      </c>
      <c r="C805" s="48" t="s">
        <v>1168</v>
      </c>
    </row>
    <row r="806" customFormat="false" ht="15.75" hidden="false" customHeight="false" outlineLevel="0" collapsed="false">
      <c r="A806" s="48" t="s">
        <v>1056</v>
      </c>
      <c r="B806" s="48" t="s">
        <v>159</v>
      </c>
      <c r="C806" s="48" t="s">
        <v>1137</v>
      </c>
    </row>
    <row r="807" customFormat="false" ht="15.75" hidden="false" customHeight="false" outlineLevel="0" collapsed="false">
      <c r="A807" s="48" t="s">
        <v>1056</v>
      </c>
      <c r="B807" s="48" t="s">
        <v>159</v>
      </c>
      <c r="C807" s="48" t="s">
        <v>1073</v>
      </c>
    </row>
    <row r="808" customFormat="false" ht="15.75" hidden="false" customHeight="false" outlineLevel="0" collapsed="false">
      <c r="A808" s="48" t="s">
        <v>1056</v>
      </c>
      <c r="B808" s="48" t="s">
        <v>162</v>
      </c>
      <c r="C808" s="48" t="s">
        <v>1169</v>
      </c>
    </row>
    <row r="809" customFormat="false" ht="15.75" hidden="false" customHeight="false" outlineLevel="0" collapsed="false">
      <c r="A809" s="48" t="s">
        <v>1056</v>
      </c>
      <c r="B809" s="48" t="s">
        <v>162</v>
      </c>
      <c r="C809" s="48" t="s">
        <v>1094</v>
      </c>
    </row>
    <row r="810" customFormat="false" ht="15.75" hidden="false" customHeight="false" outlineLevel="0" collapsed="false">
      <c r="A810" s="48" t="s">
        <v>1056</v>
      </c>
      <c r="B810" s="48" t="s">
        <v>162</v>
      </c>
      <c r="C810" s="48" t="s">
        <v>1095</v>
      </c>
    </row>
    <row r="811" customFormat="false" ht="15.75" hidden="false" customHeight="false" outlineLevel="0" collapsed="false">
      <c r="A811" s="48" t="s">
        <v>1056</v>
      </c>
      <c r="B811" s="48" t="s">
        <v>162</v>
      </c>
      <c r="C811" s="48" t="s">
        <v>1170</v>
      </c>
    </row>
    <row r="812" customFormat="false" ht="15.75" hidden="false" customHeight="false" outlineLevel="0" collapsed="false">
      <c r="A812" s="48" t="s">
        <v>1056</v>
      </c>
      <c r="B812" s="48" t="s">
        <v>162</v>
      </c>
      <c r="C812" s="48" t="s">
        <v>1143</v>
      </c>
    </row>
    <row r="813" customFormat="false" ht="15.75" hidden="false" customHeight="false" outlineLevel="0" collapsed="false">
      <c r="A813" s="48" t="s">
        <v>1056</v>
      </c>
      <c r="B813" s="48" t="s">
        <v>162</v>
      </c>
      <c r="C813" s="48" t="s">
        <v>1171</v>
      </c>
    </row>
    <row r="814" customFormat="false" ht="15.75" hidden="false" customHeight="false" outlineLevel="0" collapsed="false">
      <c r="A814" s="48" t="s">
        <v>1056</v>
      </c>
      <c r="B814" s="48" t="s">
        <v>162</v>
      </c>
      <c r="C814" s="48" t="s">
        <v>1172</v>
      </c>
    </row>
    <row r="815" customFormat="false" ht="15.75" hidden="false" customHeight="false" outlineLevel="0" collapsed="false">
      <c r="A815" s="48" t="s">
        <v>1056</v>
      </c>
      <c r="B815" s="48" t="s">
        <v>162</v>
      </c>
      <c r="C815" s="48" t="s">
        <v>1173</v>
      </c>
    </row>
    <row r="816" customFormat="false" ht="15.75" hidden="false" customHeight="false" outlineLevel="0" collapsed="false">
      <c r="A816" s="48" t="s">
        <v>1056</v>
      </c>
      <c r="B816" s="48" t="s">
        <v>162</v>
      </c>
      <c r="C816" s="48" t="s">
        <v>1162</v>
      </c>
    </row>
    <row r="817" customFormat="false" ht="15.75" hidden="false" customHeight="false" outlineLevel="0" collapsed="false">
      <c r="A817" s="48" t="s">
        <v>1056</v>
      </c>
      <c r="B817" s="48" t="s">
        <v>162</v>
      </c>
      <c r="C817" s="48" t="s">
        <v>1174</v>
      </c>
    </row>
    <row r="818" customFormat="false" ht="15.75" hidden="false" customHeight="false" outlineLevel="0" collapsed="false">
      <c r="A818" s="48" t="s">
        <v>1056</v>
      </c>
      <c r="B818" s="48" t="s">
        <v>162</v>
      </c>
      <c r="C818" s="48" t="s">
        <v>644</v>
      </c>
    </row>
    <row r="819" customFormat="false" ht="15.75" hidden="false" customHeight="false" outlineLevel="0" collapsed="false">
      <c r="A819" s="48" t="s">
        <v>1056</v>
      </c>
      <c r="B819" s="48" t="s">
        <v>162</v>
      </c>
      <c r="C819" s="48" t="s">
        <v>1175</v>
      </c>
    </row>
    <row r="820" customFormat="false" ht="15.75" hidden="false" customHeight="false" outlineLevel="0" collapsed="false">
      <c r="A820" s="48" t="s">
        <v>1056</v>
      </c>
      <c r="B820" s="48" t="s">
        <v>162</v>
      </c>
      <c r="C820" s="48" t="s">
        <v>1104</v>
      </c>
    </row>
    <row r="821" customFormat="false" ht="15.75" hidden="false" customHeight="false" outlineLevel="0" collapsed="false">
      <c r="A821" s="48" t="s">
        <v>1056</v>
      </c>
      <c r="B821" s="48" t="s">
        <v>162</v>
      </c>
      <c r="C821" s="48" t="s">
        <v>1176</v>
      </c>
    </row>
    <row r="822" customFormat="false" ht="15.75" hidden="false" customHeight="false" outlineLevel="0" collapsed="false">
      <c r="A822" s="48" t="s">
        <v>1056</v>
      </c>
      <c r="B822" s="48" t="s">
        <v>162</v>
      </c>
      <c r="C822" s="48" t="s">
        <v>1177</v>
      </c>
    </row>
    <row r="823" customFormat="false" ht="15.75" hidden="false" customHeight="false" outlineLevel="0" collapsed="false">
      <c r="A823" s="48" t="s">
        <v>1056</v>
      </c>
      <c r="B823" s="48" t="s">
        <v>162</v>
      </c>
      <c r="C823" s="48" t="s">
        <v>1178</v>
      </c>
    </row>
    <row r="824" customFormat="false" ht="15.75" hidden="false" customHeight="false" outlineLevel="0" collapsed="false">
      <c r="A824" s="48" t="s">
        <v>1056</v>
      </c>
      <c r="B824" s="48" t="s">
        <v>162</v>
      </c>
      <c r="C824" s="48" t="s">
        <v>1179</v>
      </c>
    </row>
    <row r="825" customFormat="false" ht="15.75" hidden="false" customHeight="false" outlineLevel="0" collapsed="false">
      <c r="A825" s="48" t="s">
        <v>1056</v>
      </c>
      <c r="B825" s="48" t="s">
        <v>162</v>
      </c>
      <c r="C825" s="48" t="s">
        <v>1036</v>
      </c>
    </row>
    <row r="826" customFormat="false" ht="15.75" hidden="false" customHeight="false" outlineLevel="0" collapsed="false">
      <c r="A826" s="48" t="s">
        <v>1056</v>
      </c>
      <c r="B826" s="48" t="s">
        <v>162</v>
      </c>
      <c r="C826" s="48" t="s">
        <v>1180</v>
      </c>
    </row>
    <row r="827" customFormat="false" ht="15.75" hidden="false" customHeight="false" outlineLevel="0" collapsed="false">
      <c r="A827" s="48" t="s">
        <v>1056</v>
      </c>
      <c r="B827" s="48" t="s">
        <v>162</v>
      </c>
      <c r="C827" s="48" t="s">
        <v>1181</v>
      </c>
    </row>
    <row r="828" customFormat="false" ht="15.75" hidden="false" customHeight="false" outlineLevel="0" collapsed="false">
      <c r="A828" s="48" t="s">
        <v>1056</v>
      </c>
      <c r="B828" s="48" t="s">
        <v>165</v>
      </c>
      <c r="C828" s="48" t="s">
        <v>1182</v>
      </c>
    </row>
    <row r="829" customFormat="false" ht="15.75" hidden="false" customHeight="false" outlineLevel="0" collapsed="false">
      <c r="A829" s="48" t="s">
        <v>1056</v>
      </c>
      <c r="B829" s="48" t="s">
        <v>165</v>
      </c>
      <c r="C829" s="48" t="s">
        <v>1183</v>
      </c>
    </row>
    <row r="830" customFormat="false" ht="15.75" hidden="false" customHeight="false" outlineLevel="0" collapsed="false">
      <c r="A830" s="48" t="s">
        <v>1056</v>
      </c>
      <c r="B830" s="48" t="s">
        <v>165</v>
      </c>
      <c r="C830" s="48" t="s">
        <v>1184</v>
      </c>
    </row>
    <row r="831" customFormat="false" ht="15.75" hidden="false" customHeight="false" outlineLevel="0" collapsed="false">
      <c r="A831" s="48" t="s">
        <v>1056</v>
      </c>
      <c r="B831" s="48" t="s">
        <v>165</v>
      </c>
      <c r="C831" s="48" t="s">
        <v>1185</v>
      </c>
    </row>
    <row r="832" customFormat="false" ht="15.75" hidden="false" customHeight="false" outlineLevel="0" collapsed="false">
      <c r="A832" s="48" t="s">
        <v>1056</v>
      </c>
      <c r="B832" s="48" t="s">
        <v>165</v>
      </c>
      <c r="C832" s="48" t="s">
        <v>1186</v>
      </c>
    </row>
    <row r="833" customFormat="false" ht="15.75" hidden="false" customHeight="false" outlineLevel="0" collapsed="false">
      <c r="A833" s="48" t="s">
        <v>1056</v>
      </c>
      <c r="B833" s="48" t="s">
        <v>165</v>
      </c>
      <c r="C833" s="48" t="s">
        <v>1187</v>
      </c>
    </row>
    <row r="834" customFormat="false" ht="15.75" hidden="false" customHeight="false" outlineLevel="0" collapsed="false">
      <c r="A834" s="48" t="s">
        <v>1056</v>
      </c>
      <c r="B834" s="48" t="s">
        <v>165</v>
      </c>
      <c r="C834" s="48" t="s">
        <v>1188</v>
      </c>
    </row>
    <row r="835" customFormat="false" ht="15.75" hidden="false" customHeight="false" outlineLevel="0" collapsed="false">
      <c r="A835" s="48" t="s">
        <v>1056</v>
      </c>
      <c r="B835" s="48" t="s">
        <v>165</v>
      </c>
      <c r="C835" s="48" t="s">
        <v>1189</v>
      </c>
    </row>
    <row r="836" customFormat="false" ht="15.75" hidden="false" customHeight="false" outlineLevel="0" collapsed="false">
      <c r="A836" s="48" t="s">
        <v>1056</v>
      </c>
      <c r="B836" s="48" t="s">
        <v>165</v>
      </c>
      <c r="C836" s="48" t="s">
        <v>1094</v>
      </c>
    </row>
    <row r="837" customFormat="false" ht="15.75" hidden="false" customHeight="false" outlineLevel="0" collapsed="false">
      <c r="A837" s="48" t="s">
        <v>1056</v>
      </c>
      <c r="B837" s="48" t="s">
        <v>165</v>
      </c>
      <c r="C837" s="48" t="s">
        <v>1190</v>
      </c>
    </row>
    <row r="838" customFormat="false" ht="15.75" hidden="false" customHeight="false" outlineLevel="0" collapsed="false">
      <c r="A838" s="48" t="s">
        <v>1056</v>
      </c>
      <c r="B838" s="48" t="s">
        <v>165</v>
      </c>
      <c r="C838" s="48" t="s">
        <v>1191</v>
      </c>
    </row>
    <row r="839" customFormat="false" ht="15.75" hidden="false" customHeight="false" outlineLevel="0" collapsed="false">
      <c r="A839" s="48" t="s">
        <v>1056</v>
      </c>
      <c r="B839" s="48" t="s">
        <v>165</v>
      </c>
      <c r="C839" s="48" t="s">
        <v>1192</v>
      </c>
    </row>
    <row r="840" customFormat="false" ht="15.75" hidden="false" customHeight="false" outlineLevel="0" collapsed="false">
      <c r="A840" s="48" t="s">
        <v>1056</v>
      </c>
      <c r="B840" s="48" t="s">
        <v>165</v>
      </c>
      <c r="C840" s="48" t="s">
        <v>1095</v>
      </c>
    </row>
    <row r="841" customFormat="false" ht="15.75" hidden="false" customHeight="false" outlineLevel="0" collapsed="false">
      <c r="A841" s="48" t="s">
        <v>1056</v>
      </c>
      <c r="B841" s="48" t="s">
        <v>165</v>
      </c>
      <c r="C841" s="48" t="s">
        <v>1170</v>
      </c>
    </row>
    <row r="842" customFormat="false" ht="15.75" hidden="false" customHeight="false" outlineLevel="0" collapsed="false">
      <c r="A842" s="48" t="s">
        <v>1056</v>
      </c>
      <c r="B842" s="48" t="s">
        <v>165</v>
      </c>
      <c r="C842" s="48" t="s">
        <v>1181</v>
      </c>
    </row>
    <row r="843" customFormat="false" ht="15.75" hidden="false" customHeight="false" outlineLevel="0" collapsed="false">
      <c r="A843" s="48" t="s">
        <v>1056</v>
      </c>
      <c r="B843" s="48" t="s">
        <v>165</v>
      </c>
      <c r="C843" s="48" t="s">
        <v>1162</v>
      </c>
    </row>
    <row r="844" customFormat="false" ht="15.75" hidden="false" customHeight="false" outlineLevel="0" collapsed="false">
      <c r="A844" s="48" t="s">
        <v>1056</v>
      </c>
      <c r="B844" s="48" t="s">
        <v>165</v>
      </c>
      <c r="C844" s="48" t="s">
        <v>1104</v>
      </c>
    </row>
    <row r="845" customFormat="false" ht="15.75" hidden="false" customHeight="false" outlineLevel="0" collapsed="false">
      <c r="A845" s="48" t="s">
        <v>1056</v>
      </c>
      <c r="B845" s="48" t="s">
        <v>165</v>
      </c>
      <c r="C845" s="48" t="s">
        <v>1193</v>
      </c>
    </row>
    <row r="846" customFormat="false" ht="15.75" hidden="false" customHeight="false" outlineLevel="0" collapsed="false">
      <c r="A846" s="48" t="s">
        <v>1056</v>
      </c>
      <c r="B846" s="48" t="s">
        <v>165</v>
      </c>
      <c r="C846" s="48" t="s">
        <v>1194</v>
      </c>
    </row>
    <row r="847" customFormat="false" ht="15.75" hidden="false" customHeight="false" outlineLevel="0" collapsed="false">
      <c r="A847" s="48" t="s">
        <v>1056</v>
      </c>
      <c r="B847" s="48" t="s">
        <v>165</v>
      </c>
      <c r="C847" s="48" t="s">
        <v>1195</v>
      </c>
    </row>
    <row r="848" customFormat="false" ht="15.75" hidden="false" customHeight="false" outlineLevel="0" collapsed="false">
      <c r="A848" s="48" t="s">
        <v>1056</v>
      </c>
      <c r="B848" s="48" t="s">
        <v>165</v>
      </c>
      <c r="C848" s="48" t="s">
        <v>1178</v>
      </c>
    </row>
    <row r="849" customFormat="false" ht="15.75" hidden="false" customHeight="false" outlineLevel="0" collapsed="false">
      <c r="A849" s="48" t="s">
        <v>1056</v>
      </c>
      <c r="B849" s="48" t="s">
        <v>165</v>
      </c>
      <c r="C849" s="48" t="s">
        <v>644</v>
      </c>
    </row>
    <row r="850" customFormat="false" ht="15.75" hidden="false" customHeight="false" outlineLevel="0" collapsed="false">
      <c r="A850" s="48" t="s">
        <v>1056</v>
      </c>
      <c r="B850" s="48" t="s">
        <v>165</v>
      </c>
      <c r="C850" s="48" t="s">
        <v>1196</v>
      </c>
    </row>
    <row r="851" customFormat="false" ht="15.75" hidden="false" customHeight="false" outlineLevel="0" collapsed="false">
      <c r="A851" s="48" t="s">
        <v>1056</v>
      </c>
      <c r="B851" s="48" t="s">
        <v>165</v>
      </c>
      <c r="C851" s="48" t="s">
        <v>1179</v>
      </c>
    </row>
    <row r="852" customFormat="false" ht="15.75" hidden="false" customHeight="false" outlineLevel="0" collapsed="false">
      <c r="A852" s="48" t="s">
        <v>1056</v>
      </c>
      <c r="B852" s="48" t="s">
        <v>165</v>
      </c>
      <c r="C852" s="48" t="s">
        <v>1197</v>
      </c>
    </row>
    <row r="853" customFormat="false" ht="15.75" hidden="false" customHeight="false" outlineLevel="0" collapsed="false">
      <c r="A853" s="48" t="s">
        <v>1056</v>
      </c>
      <c r="B853" s="48" t="s">
        <v>165</v>
      </c>
      <c r="C853" s="48" t="s">
        <v>1198</v>
      </c>
    </row>
    <row r="854" customFormat="false" ht="15.75" hidden="false" customHeight="false" outlineLevel="0" collapsed="false">
      <c r="A854" s="48" t="s">
        <v>1056</v>
      </c>
      <c r="B854" s="48" t="s">
        <v>165</v>
      </c>
      <c r="C854" s="48" t="s">
        <v>1169</v>
      </c>
    </row>
    <row r="855" customFormat="false" ht="15.75" hidden="false" customHeight="false" outlineLevel="0" collapsed="false">
      <c r="A855" s="48" t="s">
        <v>1056</v>
      </c>
      <c r="B855" s="48" t="s">
        <v>165</v>
      </c>
      <c r="C855" s="48" t="s">
        <v>1199</v>
      </c>
    </row>
    <row r="856" customFormat="false" ht="15.75" hidden="false" customHeight="false" outlineLevel="0" collapsed="false">
      <c r="A856" s="48" t="s">
        <v>1056</v>
      </c>
      <c r="B856" s="48" t="s">
        <v>165</v>
      </c>
      <c r="C856" s="48" t="s">
        <v>1200</v>
      </c>
    </row>
    <row r="857" customFormat="false" ht="15.75" hidden="false" customHeight="false" outlineLevel="0" collapsed="false">
      <c r="A857" s="48" t="s">
        <v>1056</v>
      </c>
      <c r="B857" s="48" t="s">
        <v>165</v>
      </c>
      <c r="C857" s="48" t="s">
        <v>1201</v>
      </c>
    </row>
    <row r="858" customFormat="false" ht="15.75" hidden="false" customHeight="false" outlineLevel="0" collapsed="false">
      <c r="A858" s="48" t="s">
        <v>1056</v>
      </c>
      <c r="B858" s="48" t="s">
        <v>165</v>
      </c>
      <c r="C858" s="48" t="s">
        <v>1175</v>
      </c>
    </row>
    <row r="859" customFormat="false" ht="15.75" hidden="false" customHeight="false" outlineLevel="0" collapsed="false">
      <c r="A859" s="48" t="s">
        <v>1056</v>
      </c>
      <c r="B859" s="48" t="s">
        <v>165</v>
      </c>
      <c r="C859" s="48" t="s">
        <v>1202</v>
      </c>
    </row>
    <row r="860" customFormat="false" ht="15.75" hidden="false" customHeight="false" outlineLevel="0" collapsed="false">
      <c r="A860" s="48" t="s">
        <v>1056</v>
      </c>
      <c r="B860" s="48" t="s">
        <v>165</v>
      </c>
      <c r="C860" s="48" t="s">
        <v>1203</v>
      </c>
    </row>
    <row r="861" customFormat="false" ht="15.75" hidden="false" customHeight="false" outlineLevel="0" collapsed="false">
      <c r="A861" s="48" t="s">
        <v>1056</v>
      </c>
      <c r="B861" s="48" t="s">
        <v>165</v>
      </c>
      <c r="C861" s="48" t="s">
        <v>1094</v>
      </c>
    </row>
    <row r="862" customFormat="false" ht="15.75" hidden="false" customHeight="false" outlineLevel="0" collapsed="false">
      <c r="A862" s="48" t="s">
        <v>1056</v>
      </c>
      <c r="B862" s="48" t="s">
        <v>165</v>
      </c>
      <c r="C862" s="48" t="s">
        <v>1204</v>
      </c>
    </row>
    <row r="863" customFormat="false" ht="15.75" hidden="false" customHeight="false" outlineLevel="0" collapsed="false">
      <c r="A863" s="48" t="s">
        <v>1056</v>
      </c>
      <c r="B863" s="48" t="s">
        <v>165</v>
      </c>
      <c r="C863" s="48" t="s">
        <v>1205</v>
      </c>
    </row>
    <row r="864" customFormat="false" ht="15.75" hidden="false" customHeight="false" outlineLevel="0" collapsed="false">
      <c r="A864" s="48" t="s">
        <v>1056</v>
      </c>
      <c r="B864" s="48" t="s">
        <v>165</v>
      </c>
      <c r="C864" s="48" t="s">
        <v>1192</v>
      </c>
    </row>
    <row r="865" customFormat="false" ht="15.75" hidden="false" customHeight="false" outlineLevel="0" collapsed="false">
      <c r="A865" s="48" t="s">
        <v>1056</v>
      </c>
      <c r="B865" s="48" t="s">
        <v>165</v>
      </c>
      <c r="C865" s="48" t="s">
        <v>1097</v>
      </c>
    </row>
    <row r="866" customFormat="false" ht="15.75" hidden="false" customHeight="false" outlineLevel="0" collapsed="false">
      <c r="A866" s="48" t="s">
        <v>1056</v>
      </c>
      <c r="B866" s="48" t="s">
        <v>165</v>
      </c>
      <c r="C866" s="48" t="s">
        <v>1206</v>
      </c>
    </row>
    <row r="867" customFormat="false" ht="15.75" hidden="false" customHeight="false" outlineLevel="0" collapsed="false">
      <c r="A867" s="48" t="s">
        <v>1056</v>
      </c>
      <c r="B867" s="48" t="s">
        <v>165</v>
      </c>
      <c r="C867" s="48" t="s">
        <v>1207</v>
      </c>
    </row>
    <row r="868" customFormat="false" ht="15.75" hidden="false" customHeight="false" outlineLevel="0" collapsed="false">
      <c r="A868" s="48" t="s">
        <v>1056</v>
      </c>
      <c r="B868" s="48" t="s">
        <v>165</v>
      </c>
      <c r="C868" s="48" t="s">
        <v>1208</v>
      </c>
    </row>
    <row r="869" customFormat="false" ht="15.75" hidden="false" customHeight="false" outlineLevel="0" collapsed="false">
      <c r="A869" s="48" t="s">
        <v>1056</v>
      </c>
      <c r="B869" s="48" t="s">
        <v>165</v>
      </c>
      <c r="C869" s="48" t="s">
        <v>1104</v>
      </c>
    </row>
    <row r="870" customFormat="false" ht="15.75" hidden="false" customHeight="false" outlineLevel="0" collapsed="false">
      <c r="A870" s="48" t="s">
        <v>1056</v>
      </c>
      <c r="B870" s="48" t="s">
        <v>165</v>
      </c>
      <c r="C870" s="48" t="s">
        <v>1209</v>
      </c>
    </row>
    <row r="871" customFormat="false" ht="15.75" hidden="false" customHeight="false" outlineLevel="0" collapsed="false">
      <c r="A871" s="48" t="s">
        <v>1056</v>
      </c>
      <c r="B871" s="48" t="s">
        <v>165</v>
      </c>
      <c r="C871" s="48" t="s">
        <v>1210</v>
      </c>
    </row>
    <row r="872" customFormat="false" ht="15.75" hidden="false" customHeight="false" outlineLevel="0" collapsed="false">
      <c r="A872" s="48" t="s">
        <v>1056</v>
      </c>
      <c r="B872" s="48" t="s">
        <v>165</v>
      </c>
      <c r="C872" s="48" t="s">
        <v>1211</v>
      </c>
    </row>
    <row r="873" customFormat="false" ht="15.75" hidden="false" customHeight="false" outlineLevel="0" collapsed="false">
      <c r="A873" s="48" t="s">
        <v>1056</v>
      </c>
      <c r="B873" s="48" t="s">
        <v>165</v>
      </c>
      <c r="C873" s="48" t="s">
        <v>1212</v>
      </c>
    </row>
    <row r="874" customFormat="false" ht="15.75" hidden="false" customHeight="false" outlineLevel="0" collapsed="false">
      <c r="A874" s="48" t="s">
        <v>1056</v>
      </c>
      <c r="B874" s="48" t="s">
        <v>165</v>
      </c>
      <c r="C874" s="48" t="s">
        <v>1213</v>
      </c>
    </row>
    <row r="875" customFormat="false" ht="15.75" hidden="false" customHeight="false" outlineLevel="0" collapsed="false">
      <c r="A875" s="48" t="s">
        <v>1056</v>
      </c>
      <c r="B875" s="48" t="s">
        <v>165</v>
      </c>
      <c r="C875" s="48" t="s">
        <v>1214</v>
      </c>
    </row>
    <row r="876" customFormat="false" ht="15.75" hidden="false" customHeight="false" outlineLevel="0" collapsed="false">
      <c r="A876" s="48" t="s">
        <v>1056</v>
      </c>
      <c r="B876" s="48" t="s">
        <v>165</v>
      </c>
      <c r="C876" s="48" t="s">
        <v>1215</v>
      </c>
    </row>
    <row r="877" customFormat="false" ht="15.75" hidden="false" customHeight="false" outlineLevel="0" collapsed="false">
      <c r="A877" s="48" t="s">
        <v>1056</v>
      </c>
      <c r="B877" s="48" t="s">
        <v>165</v>
      </c>
      <c r="C877" s="48" t="s">
        <v>1216</v>
      </c>
    </row>
    <row r="878" customFormat="false" ht="15.75" hidden="false" customHeight="false" outlineLevel="0" collapsed="false">
      <c r="A878" s="48" t="s">
        <v>1056</v>
      </c>
      <c r="B878" s="48" t="s">
        <v>165</v>
      </c>
      <c r="C878" s="48" t="s">
        <v>1217</v>
      </c>
    </row>
    <row r="879" customFormat="false" ht="15.75" hidden="false" customHeight="false" outlineLevel="0" collapsed="false">
      <c r="A879" s="48" t="s">
        <v>1056</v>
      </c>
      <c r="B879" s="48" t="s">
        <v>165</v>
      </c>
      <c r="C879" s="48" t="s">
        <v>1218</v>
      </c>
    </row>
    <row r="880" customFormat="false" ht="15.75" hidden="false" customHeight="false" outlineLevel="0" collapsed="false">
      <c r="A880" s="48" t="s">
        <v>1056</v>
      </c>
      <c r="B880" s="48" t="s">
        <v>168</v>
      </c>
      <c r="C880" s="48" t="s">
        <v>1095</v>
      </c>
    </row>
    <row r="881" customFormat="false" ht="15.75" hidden="false" customHeight="false" outlineLevel="0" collapsed="false">
      <c r="A881" s="48" t="s">
        <v>1056</v>
      </c>
      <c r="B881" s="48" t="s">
        <v>168</v>
      </c>
      <c r="C881" s="48" t="s">
        <v>1219</v>
      </c>
    </row>
    <row r="882" customFormat="false" ht="15.75" hidden="false" customHeight="false" outlineLevel="0" collapsed="false">
      <c r="A882" s="48" t="s">
        <v>1056</v>
      </c>
      <c r="B882" s="48" t="s">
        <v>168</v>
      </c>
      <c r="C882" s="48" t="s">
        <v>1220</v>
      </c>
    </row>
    <row r="883" customFormat="false" ht="15.75" hidden="false" customHeight="false" outlineLevel="0" collapsed="false">
      <c r="A883" s="48" t="s">
        <v>1056</v>
      </c>
      <c r="B883" s="48" t="s">
        <v>168</v>
      </c>
      <c r="C883" s="48" t="s">
        <v>1175</v>
      </c>
    </row>
    <row r="884" customFormat="false" ht="15.75" hidden="false" customHeight="false" outlineLevel="0" collapsed="false">
      <c r="A884" s="48" t="s">
        <v>1056</v>
      </c>
      <c r="B884" s="48" t="s">
        <v>168</v>
      </c>
      <c r="C884" s="48" t="s">
        <v>1221</v>
      </c>
    </row>
    <row r="885" customFormat="false" ht="15.75" hidden="false" customHeight="false" outlineLevel="0" collapsed="false">
      <c r="A885" s="48" t="s">
        <v>1056</v>
      </c>
      <c r="B885" s="48" t="s">
        <v>168</v>
      </c>
      <c r="C885" s="48" t="s">
        <v>1222</v>
      </c>
    </row>
    <row r="886" customFormat="false" ht="15.75" hidden="false" customHeight="false" outlineLevel="0" collapsed="false">
      <c r="A886" s="48" t="s">
        <v>1056</v>
      </c>
      <c r="B886" s="48" t="s">
        <v>168</v>
      </c>
      <c r="C886" s="48" t="s">
        <v>1177</v>
      </c>
    </row>
    <row r="887" customFormat="false" ht="15.75" hidden="false" customHeight="false" outlineLevel="0" collapsed="false">
      <c r="A887" s="48" t="s">
        <v>1056</v>
      </c>
      <c r="B887" s="48" t="s">
        <v>168</v>
      </c>
      <c r="C887" s="48" t="s">
        <v>1094</v>
      </c>
    </row>
    <row r="888" customFormat="false" ht="15.75" hidden="false" customHeight="false" outlineLevel="0" collapsed="false">
      <c r="A888" s="48" t="s">
        <v>1056</v>
      </c>
      <c r="B888" s="48" t="s">
        <v>168</v>
      </c>
      <c r="C888" s="48" t="s">
        <v>1170</v>
      </c>
    </row>
    <row r="889" customFormat="false" ht="15.75" hidden="false" customHeight="false" outlineLevel="0" collapsed="false">
      <c r="A889" s="48" t="s">
        <v>1056</v>
      </c>
      <c r="B889" s="48" t="s">
        <v>168</v>
      </c>
      <c r="C889" s="48" t="s">
        <v>1223</v>
      </c>
    </row>
    <row r="890" customFormat="false" ht="15.75" hidden="false" customHeight="false" outlineLevel="0" collapsed="false">
      <c r="A890" s="48" t="s">
        <v>1056</v>
      </c>
      <c r="B890" s="48" t="s">
        <v>168</v>
      </c>
      <c r="C890" s="48" t="s">
        <v>644</v>
      </c>
    </row>
    <row r="891" customFormat="false" ht="15.75" hidden="false" customHeight="false" outlineLevel="0" collapsed="false">
      <c r="A891" s="48" t="s">
        <v>1056</v>
      </c>
      <c r="B891" s="48" t="s">
        <v>168</v>
      </c>
      <c r="C891" s="48" t="s">
        <v>1224</v>
      </c>
    </row>
    <row r="892" customFormat="false" ht="15.75" hidden="false" customHeight="false" outlineLevel="0" collapsed="false">
      <c r="A892" s="48" t="s">
        <v>1056</v>
      </c>
      <c r="B892" s="48" t="s">
        <v>168</v>
      </c>
      <c r="C892" s="48" t="s">
        <v>1225</v>
      </c>
    </row>
    <row r="893" customFormat="false" ht="15.75" hidden="false" customHeight="false" outlineLevel="0" collapsed="false">
      <c r="A893" s="48" t="s">
        <v>1056</v>
      </c>
      <c r="B893" s="48" t="s">
        <v>168</v>
      </c>
      <c r="C893" s="48" t="s">
        <v>1226</v>
      </c>
    </row>
    <row r="894" customFormat="false" ht="15.75" hidden="false" customHeight="false" outlineLevel="0" collapsed="false">
      <c r="A894" s="48" t="s">
        <v>1056</v>
      </c>
      <c r="B894" s="48" t="s">
        <v>168</v>
      </c>
      <c r="C894" s="48" t="s">
        <v>1227</v>
      </c>
    </row>
    <row r="895" customFormat="false" ht="15.75" hidden="false" customHeight="false" outlineLevel="0" collapsed="false">
      <c r="A895" s="48" t="s">
        <v>1056</v>
      </c>
      <c r="B895" s="48" t="s">
        <v>168</v>
      </c>
      <c r="C895" s="48" t="s">
        <v>1228</v>
      </c>
    </row>
    <row r="896" customFormat="false" ht="15.75" hidden="false" customHeight="false" outlineLevel="0" collapsed="false">
      <c r="A896" s="48" t="s">
        <v>1056</v>
      </c>
      <c r="B896" s="48" t="s">
        <v>168</v>
      </c>
      <c r="C896" s="48" t="s">
        <v>1179</v>
      </c>
    </row>
    <row r="897" customFormat="false" ht="15.75" hidden="false" customHeight="false" outlineLevel="0" collapsed="false">
      <c r="A897" s="48" t="s">
        <v>1056</v>
      </c>
      <c r="B897" s="48" t="s">
        <v>168</v>
      </c>
      <c r="C897" s="48" t="s">
        <v>1229</v>
      </c>
    </row>
    <row r="898" customFormat="false" ht="15.75" hidden="false" customHeight="false" outlineLevel="0" collapsed="false">
      <c r="A898" s="48" t="s">
        <v>1056</v>
      </c>
      <c r="B898" s="48" t="s">
        <v>168</v>
      </c>
      <c r="C898" s="48" t="s">
        <v>1191</v>
      </c>
    </row>
    <row r="899" customFormat="false" ht="15.75" hidden="false" customHeight="false" outlineLevel="0" collapsed="false">
      <c r="A899" s="48" t="s">
        <v>1056</v>
      </c>
      <c r="B899" s="48" t="s">
        <v>168</v>
      </c>
      <c r="C899" s="48" t="s">
        <v>1230</v>
      </c>
    </row>
    <row r="900" customFormat="false" ht="15.75" hidden="false" customHeight="false" outlineLevel="0" collapsed="false">
      <c r="A900" s="48" t="s">
        <v>1056</v>
      </c>
      <c r="B900" s="48" t="s">
        <v>168</v>
      </c>
      <c r="C900" s="48" t="s">
        <v>1231</v>
      </c>
    </row>
    <row r="901" customFormat="false" ht="15.75" hidden="false" customHeight="false" outlineLevel="0" collapsed="false">
      <c r="A901" s="48" t="s">
        <v>1056</v>
      </c>
      <c r="B901" s="48" t="s">
        <v>168</v>
      </c>
      <c r="C901" s="48" t="s">
        <v>1232</v>
      </c>
    </row>
    <row r="902" customFormat="false" ht="15.75" hidden="false" customHeight="false" outlineLevel="0" collapsed="false">
      <c r="A902" s="48" t="s">
        <v>1056</v>
      </c>
      <c r="B902" s="48" t="s">
        <v>168</v>
      </c>
      <c r="C902" s="48" t="s">
        <v>1176</v>
      </c>
    </row>
    <row r="903" customFormat="false" ht="15.75" hidden="false" customHeight="false" outlineLevel="0" collapsed="false">
      <c r="A903" s="48" t="s">
        <v>1056</v>
      </c>
      <c r="B903" s="48" t="s">
        <v>168</v>
      </c>
      <c r="C903" s="48" t="s">
        <v>1233</v>
      </c>
    </row>
    <row r="904" customFormat="false" ht="15.75" hidden="false" customHeight="false" outlineLevel="0" collapsed="false">
      <c r="A904" s="48" t="s">
        <v>1056</v>
      </c>
      <c r="B904" s="48" t="s">
        <v>171</v>
      </c>
      <c r="C904" s="48" t="s">
        <v>1188</v>
      </c>
    </row>
    <row r="905" customFormat="false" ht="15.75" hidden="false" customHeight="false" outlineLevel="0" collapsed="false">
      <c r="A905" s="48" t="s">
        <v>1056</v>
      </c>
      <c r="B905" s="48" t="s">
        <v>171</v>
      </c>
      <c r="C905" s="48" t="s">
        <v>1187</v>
      </c>
    </row>
    <row r="906" customFormat="false" ht="15.75" hidden="false" customHeight="false" outlineLevel="0" collapsed="false">
      <c r="A906" s="48" t="s">
        <v>1056</v>
      </c>
      <c r="B906" s="48" t="s">
        <v>171</v>
      </c>
      <c r="C906" s="48" t="s">
        <v>1186</v>
      </c>
    </row>
    <row r="907" customFormat="false" ht="15.75" hidden="false" customHeight="false" outlineLevel="0" collapsed="false">
      <c r="A907" s="48" t="s">
        <v>1056</v>
      </c>
      <c r="B907" s="48" t="s">
        <v>171</v>
      </c>
      <c r="C907" s="48" t="s">
        <v>1234</v>
      </c>
    </row>
    <row r="908" customFormat="false" ht="15.75" hidden="false" customHeight="false" outlineLevel="0" collapsed="false">
      <c r="A908" s="48" t="s">
        <v>1056</v>
      </c>
      <c r="B908" s="48" t="s">
        <v>171</v>
      </c>
      <c r="C908" s="48" t="s">
        <v>1235</v>
      </c>
    </row>
    <row r="909" customFormat="false" ht="15.75" hidden="false" customHeight="false" outlineLevel="0" collapsed="false">
      <c r="A909" s="48" t="s">
        <v>1056</v>
      </c>
      <c r="B909" s="48" t="s">
        <v>171</v>
      </c>
      <c r="C909" s="48" t="s">
        <v>1236</v>
      </c>
    </row>
    <row r="910" customFormat="false" ht="15.75" hidden="false" customHeight="false" outlineLevel="0" collapsed="false">
      <c r="A910" s="48" t="s">
        <v>1056</v>
      </c>
      <c r="B910" s="48" t="s">
        <v>171</v>
      </c>
      <c r="C910" s="48" t="s">
        <v>1237</v>
      </c>
    </row>
    <row r="911" customFormat="false" ht="15.75" hidden="false" customHeight="false" outlineLevel="0" collapsed="false">
      <c r="A911" s="48" t="s">
        <v>1056</v>
      </c>
      <c r="B911" s="48" t="s">
        <v>171</v>
      </c>
      <c r="C911" s="48" t="s">
        <v>1238</v>
      </c>
    </row>
    <row r="912" customFormat="false" ht="15.75" hidden="false" customHeight="false" outlineLevel="0" collapsed="false">
      <c r="A912" s="48" t="s">
        <v>1056</v>
      </c>
      <c r="B912" s="48" t="s">
        <v>171</v>
      </c>
      <c r="C912" s="48" t="s">
        <v>1095</v>
      </c>
    </row>
    <row r="913" customFormat="false" ht="15.75" hidden="false" customHeight="false" outlineLevel="0" collapsed="false">
      <c r="A913" s="48" t="s">
        <v>1056</v>
      </c>
      <c r="B913" s="48" t="s">
        <v>171</v>
      </c>
      <c r="C913" s="48" t="s">
        <v>1104</v>
      </c>
    </row>
    <row r="914" customFormat="false" ht="15.75" hidden="false" customHeight="false" outlineLevel="0" collapsed="false">
      <c r="A914" s="48" t="s">
        <v>1056</v>
      </c>
      <c r="B914" s="48" t="s">
        <v>171</v>
      </c>
      <c r="C914" s="48" t="s">
        <v>1216</v>
      </c>
    </row>
    <row r="915" customFormat="false" ht="15.75" hidden="false" customHeight="false" outlineLevel="0" collapsed="false">
      <c r="A915" s="48" t="s">
        <v>1056</v>
      </c>
      <c r="B915" s="48" t="s">
        <v>171</v>
      </c>
      <c r="C915" s="48" t="s">
        <v>1239</v>
      </c>
    </row>
    <row r="916" customFormat="false" ht="15.75" hidden="false" customHeight="false" outlineLevel="0" collapsed="false">
      <c r="A916" s="48" t="s">
        <v>1056</v>
      </c>
      <c r="B916" s="48" t="s">
        <v>171</v>
      </c>
      <c r="C916" s="48" t="s">
        <v>1240</v>
      </c>
    </row>
    <row r="917" customFormat="false" ht="15.75" hidden="false" customHeight="false" outlineLevel="0" collapsed="false">
      <c r="A917" s="48" t="s">
        <v>1056</v>
      </c>
      <c r="B917" s="48" t="s">
        <v>171</v>
      </c>
      <c r="C917" s="48" t="s">
        <v>1241</v>
      </c>
    </row>
    <row r="918" customFormat="false" ht="15.75" hidden="false" customHeight="false" outlineLevel="0" collapsed="false">
      <c r="A918" s="48" t="s">
        <v>1056</v>
      </c>
      <c r="B918" s="48" t="s">
        <v>171</v>
      </c>
      <c r="C918" s="48" t="s">
        <v>1242</v>
      </c>
    </row>
    <row r="919" customFormat="false" ht="15.75" hidden="false" customHeight="false" outlineLevel="0" collapsed="false">
      <c r="A919" s="48" t="s">
        <v>1056</v>
      </c>
      <c r="B919" s="48" t="s">
        <v>171</v>
      </c>
      <c r="C919" s="48" t="s">
        <v>1097</v>
      </c>
    </row>
    <row r="920" customFormat="false" ht="15.75" hidden="false" customHeight="false" outlineLevel="0" collapsed="false">
      <c r="A920" s="48" t="s">
        <v>1056</v>
      </c>
      <c r="B920" s="48" t="s">
        <v>171</v>
      </c>
      <c r="C920" s="48" t="s">
        <v>1243</v>
      </c>
    </row>
    <row r="921" customFormat="false" ht="15.75" hidden="false" customHeight="false" outlineLevel="0" collapsed="false">
      <c r="A921" s="48" t="s">
        <v>1056</v>
      </c>
      <c r="B921" s="48" t="s">
        <v>171</v>
      </c>
      <c r="C921" s="48" t="s">
        <v>1244</v>
      </c>
    </row>
    <row r="922" customFormat="false" ht="15.75" hidden="false" customHeight="false" outlineLevel="0" collapsed="false">
      <c r="A922" s="48" t="s">
        <v>1056</v>
      </c>
      <c r="B922" s="48" t="s">
        <v>171</v>
      </c>
      <c r="C922" s="48" t="s">
        <v>644</v>
      </c>
    </row>
    <row r="923" customFormat="false" ht="15.75" hidden="false" customHeight="false" outlineLevel="0" collapsed="false">
      <c r="A923" s="48" t="s">
        <v>1056</v>
      </c>
      <c r="B923" s="48" t="s">
        <v>171</v>
      </c>
      <c r="C923" s="48" t="s">
        <v>1245</v>
      </c>
    </row>
    <row r="924" customFormat="false" ht="15.75" hidden="false" customHeight="false" outlineLevel="0" collapsed="false">
      <c r="A924" s="48" t="s">
        <v>1056</v>
      </c>
      <c r="B924" s="48" t="s">
        <v>171</v>
      </c>
      <c r="C924" s="48" t="s">
        <v>1246</v>
      </c>
    </row>
    <row r="925" customFormat="false" ht="15.75" hidden="false" customHeight="false" outlineLevel="0" collapsed="false">
      <c r="A925" s="48" t="s">
        <v>1056</v>
      </c>
      <c r="B925" s="48" t="s">
        <v>171</v>
      </c>
      <c r="C925" s="48" t="s">
        <v>1176</v>
      </c>
    </row>
    <row r="926" customFormat="false" ht="15.75" hidden="false" customHeight="false" outlineLevel="0" collapsed="false">
      <c r="A926" s="48" t="s">
        <v>1056</v>
      </c>
      <c r="B926" s="48" t="s">
        <v>171</v>
      </c>
      <c r="C926" s="48" t="s">
        <v>1195</v>
      </c>
    </row>
    <row r="927" customFormat="false" ht="15.75" hidden="false" customHeight="false" outlineLevel="0" collapsed="false">
      <c r="A927" s="48" t="s">
        <v>1056</v>
      </c>
      <c r="B927" s="48" t="s">
        <v>171</v>
      </c>
      <c r="C927" s="48" t="s">
        <v>1247</v>
      </c>
    </row>
    <row r="928" customFormat="false" ht="15.75" hidden="false" customHeight="false" outlineLevel="0" collapsed="false">
      <c r="A928" s="48" t="s">
        <v>1056</v>
      </c>
      <c r="B928" s="48" t="s">
        <v>171</v>
      </c>
      <c r="C928" s="48" t="s">
        <v>1248</v>
      </c>
    </row>
    <row r="929" customFormat="false" ht="15.75" hidden="false" customHeight="false" outlineLevel="0" collapsed="false">
      <c r="A929" s="48" t="s">
        <v>1056</v>
      </c>
      <c r="B929" s="48" t="s">
        <v>171</v>
      </c>
      <c r="C929" s="48" t="s">
        <v>1179</v>
      </c>
    </row>
    <row r="930" customFormat="false" ht="15.75" hidden="false" customHeight="false" outlineLevel="0" collapsed="false">
      <c r="A930" s="48" t="s">
        <v>1056</v>
      </c>
      <c r="B930" s="48" t="s">
        <v>171</v>
      </c>
      <c r="C930" s="48" t="s">
        <v>1249</v>
      </c>
    </row>
    <row r="931" customFormat="false" ht="15.75" hidden="false" customHeight="false" outlineLevel="0" collapsed="false">
      <c r="A931" s="48" t="s">
        <v>1056</v>
      </c>
      <c r="B931" s="48" t="s">
        <v>171</v>
      </c>
      <c r="C931" s="48" t="s">
        <v>1250</v>
      </c>
    </row>
    <row r="932" customFormat="false" ht="15.75" hidden="false" customHeight="false" outlineLevel="0" collapsed="false">
      <c r="A932" s="48" t="s">
        <v>1056</v>
      </c>
      <c r="B932" s="48" t="s">
        <v>171</v>
      </c>
      <c r="C932" s="48" t="s">
        <v>1251</v>
      </c>
    </row>
    <row r="933" customFormat="false" ht="15.75" hidden="false" customHeight="false" outlineLevel="0" collapsed="false">
      <c r="A933" s="48" t="s">
        <v>1056</v>
      </c>
      <c r="B933" s="48" t="s">
        <v>171</v>
      </c>
      <c r="C933" s="48" t="s">
        <v>1252</v>
      </c>
    </row>
    <row r="934" customFormat="false" ht="15.75" hidden="false" customHeight="false" outlineLevel="0" collapsed="false">
      <c r="A934" s="48" t="s">
        <v>1056</v>
      </c>
      <c r="B934" s="48" t="s">
        <v>171</v>
      </c>
      <c r="C934" s="48" t="s">
        <v>1253</v>
      </c>
    </row>
    <row r="935" customFormat="false" ht="15.75" hidden="false" customHeight="false" outlineLevel="0" collapsed="false">
      <c r="A935" s="48" t="s">
        <v>1056</v>
      </c>
      <c r="B935" s="48" t="s">
        <v>171</v>
      </c>
      <c r="C935" s="48" t="s">
        <v>1254</v>
      </c>
    </row>
    <row r="936" customFormat="false" ht="15.75" hidden="false" customHeight="false" outlineLevel="0" collapsed="false">
      <c r="A936" s="48" t="s">
        <v>1056</v>
      </c>
      <c r="B936" s="48" t="s">
        <v>171</v>
      </c>
      <c r="C936" s="48" t="s">
        <v>1068</v>
      </c>
    </row>
    <row r="937" customFormat="false" ht="15.75" hidden="false" customHeight="false" outlineLevel="0" collapsed="false">
      <c r="A937" s="48" t="s">
        <v>1056</v>
      </c>
      <c r="B937" s="48" t="s">
        <v>171</v>
      </c>
      <c r="C937" s="48" t="s">
        <v>1105</v>
      </c>
    </row>
    <row r="938" customFormat="false" ht="15.75" hidden="false" customHeight="false" outlineLevel="0" collapsed="false">
      <c r="A938" s="48" t="s">
        <v>1056</v>
      </c>
      <c r="B938" s="48" t="s">
        <v>171</v>
      </c>
      <c r="C938" s="48" t="s">
        <v>1255</v>
      </c>
    </row>
    <row r="939" customFormat="false" ht="15.75" hidden="false" customHeight="false" outlineLevel="0" collapsed="false">
      <c r="A939" s="48" t="s">
        <v>1056</v>
      </c>
      <c r="B939" s="48" t="s">
        <v>171</v>
      </c>
      <c r="C939" s="48" t="s">
        <v>1256</v>
      </c>
    </row>
    <row r="940" customFormat="false" ht="15.75" hidden="false" customHeight="false" outlineLevel="0" collapsed="false">
      <c r="A940" s="48" t="s">
        <v>1056</v>
      </c>
      <c r="B940" s="48" t="s">
        <v>171</v>
      </c>
      <c r="C940" s="48" t="s">
        <v>1257</v>
      </c>
    </row>
    <row r="941" customFormat="false" ht="15.75" hidden="false" customHeight="false" outlineLevel="0" collapsed="false">
      <c r="A941" s="48" t="s">
        <v>1056</v>
      </c>
      <c r="B941" s="48" t="s">
        <v>171</v>
      </c>
      <c r="C941" s="48" t="s">
        <v>1177</v>
      </c>
    </row>
    <row r="942" customFormat="false" ht="15.75" hidden="false" customHeight="false" outlineLevel="0" collapsed="false">
      <c r="A942" s="48" t="s">
        <v>1056</v>
      </c>
      <c r="B942" s="48" t="s">
        <v>171</v>
      </c>
      <c r="C942" s="48" t="s">
        <v>1258</v>
      </c>
    </row>
    <row r="943" customFormat="false" ht="15.75" hidden="false" customHeight="false" outlineLevel="0" collapsed="false">
      <c r="A943" s="48" t="s">
        <v>1056</v>
      </c>
      <c r="B943" s="48" t="s">
        <v>174</v>
      </c>
      <c r="C943" s="48" t="s">
        <v>1259</v>
      </c>
    </row>
    <row r="944" customFormat="false" ht="15.75" hidden="false" customHeight="false" outlineLevel="0" collapsed="false">
      <c r="A944" s="48" t="s">
        <v>1056</v>
      </c>
      <c r="B944" s="48" t="s">
        <v>174</v>
      </c>
      <c r="C944" s="48" t="s">
        <v>1260</v>
      </c>
    </row>
    <row r="945" customFormat="false" ht="15.75" hidden="false" customHeight="false" outlineLevel="0" collapsed="false">
      <c r="A945" s="48" t="s">
        <v>1056</v>
      </c>
      <c r="B945" s="48" t="s">
        <v>174</v>
      </c>
      <c r="C945" s="48" t="s">
        <v>1256</v>
      </c>
    </row>
    <row r="946" customFormat="false" ht="15.75" hidden="false" customHeight="false" outlineLevel="0" collapsed="false">
      <c r="A946" s="48" t="s">
        <v>1056</v>
      </c>
      <c r="B946" s="48" t="s">
        <v>174</v>
      </c>
      <c r="C946" s="48" t="s">
        <v>1143</v>
      </c>
    </row>
    <row r="947" customFormat="false" ht="15.75" hidden="false" customHeight="false" outlineLevel="0" collapsed="false">
      <c r="A947" s="48" t="s">
        <v>1056</v>
      </c>
      <c r="B947" s="48" t="s">
        <v>174</v>
      </c>
      <c r="C947" s="48" t="s">
        <v>1261</v>
      </c>
    </row>
    <row r="948" customFormat="false" ht="15.75" hidden="false" customHeight="false" outlineLevel="0" collapsed="false">
      <c r="A948" s="48" t="s">
        <v>1056</v>
      </c>
      <c r="B948" s="48" t="s">
        <v>174</v>
      </c>
      <c r="C948" s="48" t="s">
        <v>1262</v>
      </c>
    </row>
    <row r="949" customFormat="false" ht="15.75" hidden="false" customHeight="false" outlineLevel="0" collapsed="false">
      <c r="A949" s="48" t="s">
        <v>1056</v>
      </c>
      <c r="B949" s="48" t="s">
        <v>174</v>
      </c>
      <c r="C949" s="48" t="s">
        <v>1263</v>
      </c>
    </row>
    <row r="950" customFormat="false" ht="15.75" hidden="false" customHeight="false" outlineLevel="0" collapsed="false">
      <c r="A950" s="48" t="s">
        <v>1056</v>
      </c>
      <c r="B950" s="48" t="s">
        <v>174</v>
      </c>
      <c r="C950" s="48" t="s">
        <v>1264</v>
      </c>
    </row>
    <row r="951" customFormat="false" ht="15.75" hidden="false" customHeight="false" outlineLevel="0" collapsed="false">
      <c r="A951" s="48" t="s">
        <v>1056</v>
      </c>
      <c r="B951" s="48" t="s">
        <v>174</v>
      </c>
      <c r="C951" s="48" t="s">
        <v>1265</v>
      </c>
    </row>
    <row r="952" customFormat="false" ht="15.75" hidden="false" customHeight="false" outlineLevel="0" collapsed="false">
      <c r="A952" s="48" t="s">
        <v>1056</v>
      </c>
      <c r="B952" s="48" t="s">
        <v>174</v>
      </c>
      <c r="C952" s="48" t="s">
        <v>1266</v>
      </c>
    </row>
    <row r="953" customFormat="false" ht="15.75" hidden="false" customHeight="false" outlineLevel="0" collapsed="false">
      <c r="A953" s="48" t="s">
        <v>1056</v>
      </c>
      <c r="B953" s="48" t="s">
        <v>174</v>
      </c>
      <c r="C953" s="48" t="s">
        <v>1267</v>
      </c>
    </row>
    <row r="954" customFormat="false" ht="15.75" hidden="false" customHeight="false" outlineLevel="0" collapsed="false">
      <c r="A954" s="48" t="s">
        <v>1056</v>
      </c>
      <c r="B954" s="48" t="s">
        <v>174</v>
      </c>
      <c r="C954" s="48" t="s">
        <v>1268</v>
      </c>
    </row>
    <row r="955" customFormat="false" ht="15.75" hidden="false" customHeight="false" outlineLevel="0" collapsed="false">
      <c r="A955" s="48" t="s">
        <v>1056</v>
      </c>
      <c r="B955" s="48" t="s">
        <v>174</v>
      </c>
      <c r="C955" s="48" t="s">
        <v>1269</v>
      </c>
    </row>
    <row r="956" customFormat="false" ht="15.75" hidden="false" customHeight="false" outlineLevel="0" collapsed="false">
      <c r="A956" s="48" t="s">
        <v>1056</v>
      </c>
      <c r="B956" s="48" t="s">
        <v>174</v>
      </c>
      <c r="C956" s="48" t="s">
        <v>1270</v>
      </c>
    </row>
    <row r="957" customFormat="false" ht="15.75" hidden="false" customHeight="false" outlineLevel="0" collapsed="false">
      <c r="A957" s="48" t="s">
        <v>1056</v>
      </c>
      <c r="B957" s="48" t="s">
        <v>174</v>
      </c>
      <c r="C957" s="48" t="s">
        <v>1271</v>
      </c>
    </row>
    <row r="958" customFormat="false" ht="15.75" hidden="false" customHeight="false" outlineLevel="0" collapsed="false">
      <c r="A958" s="48" t="s">
        <v>1056</v>
      </c>
      <c r="B958" s="48" t="s">
        <v>174</v>
      </c>
      <c r="C958" s="48" t="s">
        <v>1272</v>
      </c>
    </row>
    <row r="959" customFormat="false" ht="15.75" hidden="false" customHeight="false" outlineLevel="0" collapsed="false">
      <c r="A959" s="48" t="s">
        <v>1056</v>
      </c>
      <c r="B959" s="48" t="s">
        <v>174</v>
      </c>
      <c r="C959" s="48" t="s">
        <v>1273</v>
      </c>
    </row>
    <row r="960" customFormat="false" ht="15.75" hidden="false" customHeight="false" outlineLevel="0" collapsed="false">
      <c r="A960" s="48" t="s">
        <v>1056</v>
      </c>
      <c r="B960" s="48" t="s">
        <v>174</v>
      </c>
      <c r="C960" s="48" t="s">
        <v>1274</v>
      </c>
    </row>
    <row r="961" customFormat="false" ht="15.75" hidden="false" customHeight="false" outlineLevel="0" collapsed="false">
      <c r="A961" s="48" t="s">
        <v>1056</v>
      </c>
      <c r="B961" s="48" t="s">
        <v>174</v>
      </c>
      <c r="C961" s="48" t="s">
        <v>1154</v>
      </c>
    </row>
    <row r="962" customFormat="false" ht="15.75" hidden="false" customHeight="false" outlineLevel="0" collapsed="false">
      <c r="A962" s="48" t="s">
        <v>1056</v>
      </c>
      <c r="B962" s="48" t="s">
        <v>174</v>
      </c>
      <c r="C962" s="48" t="s">
        <v>1275</v>
      </c>
    </row>
    <row r="963" customFormat="false" ht="15.75" hidden="false" customHeight="false" outlineLevel="0" collapsed="false">
      <c r="A963" s="48" t="s">
        <v>1056</v>
      </c>
      <c r="B963" s="48" t="s">
        <v>174</v>
      </c>
      <c r="C963" s="48" t="s">
        <v>1276</v>
      </c>
    </row>
    <row r="964" customFormat="false" ht="15.75" hidden="false" customHeight="false" outlineLevel="0" collapsed="false">
      <c r="A964" s="48" t="s">
        <v>1056</v>
      </c>
      <c r="B964" s="48" t="s">
        <v>174</v>
      </c>
      <c r="C964" s="48" t="s">
        <v>1277</v>
      </c>
    </row>
    <row r="965" customFormat="false" ht="15.75" hidden="false" customHeight="false" outlineLevel="0" collapsed="false">
      <c r="A965" s="48" t="s">
        <v>1056</v>
      </c>
      <c r="B965" s="48" t="s">
        <v>174</v>
      </c>
      <c r="C965" s="48" t="s">
        <v>644</v>
      </c>
    </row>
    <row r="966" customFormat="false" ht="15.75" hidden="false" customHeight="false" outlineLevel="0" collapsed="false">
      <c r="A966" s="48" t="s">
        <v>1056</v>
      </c>
      <c r="B966" s="48" t="s">
        <v>177</v>
      </c>
      <c r="C966" s="48" t="s">
        <v>1278</v>
      </c>
    </row>
    <row r="967" customFormat="false" ht="15.75" hidden="false" customHeight="false" outlineLevel="0" collapsed="false">
      <c r="A967" s="48" t="s">
        <v>1056</v>
      </c>
      <c r="B967" s="48" t="s">
        <v>177</v>
      </c>
      <c r="C967" s="48" t="s">
        <v>1279</v>
      </c>
    </row>
    <row r="968" customFormat="false" ht="15.75" hidden="false" customHeight="false" outlineLevel="0" collapsed="false">
      <c r="A968" s="48" t="s">
        <v>1056</v>
      </c>
      <c r="B968" s="48" t="s">
        <v>177</v>
      </c>
      <c r="C968" s="48" t="s">
        <v>1280</v>
      </c>
    </row>
    <row r="969" customFormat="false" ht="15.75" hidden="false" customHeight="false" outlineLevel="0" collapsed="false">
      <c r="A969" s="48" t="s">
        <v>1056</v>
      </c>
      <c r="B969" s="48" t="s">
        <v>177</v>
      </c>
      <c r="C969" s="48" t="s">
        <v>1281</v>
      </c>
    </row>
    <row r="970" customFormat="false" ht="15.75" hidden="false" customHeight="false" outlineLevel="0" collapsed="false">
      <c r="A970" s="48" t="s">
        <v>1056</v>
      </c>
      <c r="B970" s="48" t="s">
        <v>177</v>
      </c>
      <c r="C970" s="48" t="s">
        <v>1282</v>
      </c>
    </row>
    <row r="971" customFormat="false" ht="15.75" hidden="false" customHeight="false" outlineLevel="0" collapsed="false">
      <c r="A971" s="48" t="s">
        <v>1056</v>
      </c>
      <c r="B971" s="48" t="s">
        <v>177</v>
      </c>
      <c r="C971" s="48" t="s">
        <v>1283</v>
      </c>
    </row>
    <row r="972" customFormat="false" ht="15.75" hidden="false" customHeight="false" outlineLevel="0" collapsed="false">
      <c r="A972" s="48" t="s">
        <v>1056</v>
      </c>
      <c r="B972" s="48" t="s">
        <v>177</v>
      </c>
      <c r="C972" s="48" t="s">
        <v>1284</v>
      </c>
    </row>
    <row r="973" customFormat="false" ht="15.75" hidden="false" customHeight="false" outlineLevel="0" collapsed="false">
      <c r="A973" s="48" t="s">
        <v>1056</v>
      </c>
      <c r="B973" s="48" t="s">
        <v>177</v>
      </c>
      <c r="C973" s="48" t="s">
        <v>1285</v>
      </c>
    </row>
    <row r="974" customFormat="false" ht="15.75" hidden="false" customHeight="false" outlineLevel="0" collapsed="false">
      <c r="A974" s="48" t="s">
        <v>1056</v>
      </c>
      <c r="B974" s="48" t="s">
        <v>177</v>
      </c>
      <c r="C974" s="48" t="s">
        <v>1286</v>
      </c>
    </row>
    <row r="975" customFormat="false" ht="15.75" hidden="false" customHeight="false" outlineLevel="0" collapsed="false">
      <c r="A975" s="48" t="s">
        <v>1056</v>
      </c>
      <c r="B975" s="48" t="s">
        <v>177</v>
      </c>
      <c r="C975" s="48" t="s">
        <v>1287</v>
      </c>
    </row>
    <row r="976" customFormat="false" ht="15.75" hidden="false" customHeight="false" outlineLevel="0" collapsed="false">
      <c r="A976" s="48" t="s">
        <v>1056</v>
      </c>
      <c r="B976" s="48" t="s">
        <v>177</v>
      </c>
      <c r="C976" s="48" t="s">
        <v>1288</v>
      </c>
    </row>
    <row r="977" customFormat="false" ht="15.75" hidden="false" customHeight="false" outlineLevel="0" collapsed="false">
      <c r="A977" s="48" t="s">
        <v>1056</v>
      </c>
      <c r="B977" s="48" t="s">
        <v>177</v>
      </c>
      <c r="C977" s="48" t="s">
        <v>1289</v>
      </c>
    </row>
    <row r="978" customFormat="false" ht="15.75" hidden="false" customHeight="false" outlineLevel="0" collapsed="false">
      <c r="A978" s="48" t="s">
        <v>1056</v>
      </c>
      <c r="B978" s="48" t="s">
        <v>177</v>
      </c>
      <c r="C978" s="48" t="s">
        <v>1290</v>
      </c>
    </row>
    <row r="979" customFormat="false" ht="15.75" hidden="false" customHeight="false" outlineLevel="0" collapsed="false">
      <c r="A979" s="48" t="s">
        <v>1056</v>
      </c>
      <c r="B979" s="48" t="s">
        <v>177</v>
      </c>
      <c r="C979" s="48" t="s">
        <v>1068</v>
      </c>
    </row>
    <row r="980" customFormat="false" ht="15.75" hidden="false" customHeight="false" outlineLevel="0" collapsed="false">
      <c r="A980" s="48" t="s">
        <v>1056</v>
      </c>
      <c r="B980" s="48" t="s">
        <v>177</v>
      </c>
      <c r="C980" s="48" t="s">
        <v>644</v>
      </c>
    </row>
    <row r="981" customFormat="false" ht="15.75" hidden="false" customHeight="false" outlineLevel="0" collapsed="false">
      <c r="A981" s="48" t="s">
        <v>1056</v>
      </c>
      <c r="B981" s="48" t="s">
        <v>177</v>
      </c>
      <c r="C981" s="48" t="s">
        <v>1291</v>
      </c>
    </row>
    <row r="982" customFormat="false" ht="15.75" hidden="false" customHeight="false" outlineLevel="0" collapsed="false">
      <c r="A982" s="48" t="s">
        <v>1056</v>
      </c>
      <c r="B982" s="48" t="s">
        <v>177</v>
      </c>
      <c r="C982" s="48" t="s">
        <v>1292</v>
      </c>
    </row>
    <row r="983" customFormat="false" ht="15.75" hidden="false" customHeight="false" outlineLevel="0" collapsed="false">
      <c r="A983" s="48" t="s">
        <v>1056</v>
      </c>
      <c r="B983" s="48" t="s">
        <v>177</v>
      </c>
      <c r="C983" s="48" t="s">
        <v>1293</v>
      </c>
    </row>
    <row r="984" customFormat="false" ht="15.75" hidden="false" customHeight="false" outlineLevel="0" collapsed="false">
      <c r="A984" s="48" t="s">
        <v>1056</v>
      </c>
      <c r="B984" s="48" t="s">
        <v>177</v>
      </c>
      <c r="C984" s="48" t="s">
        <v>1294</v>
      </c>
    </row>
    <row r="985" customFormat="false" ht="15.75" hidden="false" customHeight="false" outlineLevel="0" collapsed="false">
      <c r="A985" s="48" t="s">
        <v>1056</v>
      </c>
      <c r="B985" s="48" t="s">
        <v>177</v>
      </c>
      <c r="C985" s="48" t="s">
        <v>1250</v>
      </c>
    </row>
    <row r="986" customFormat="false" ht="15.75" hidden="false" customHeight="false" outlineLevel="0" collapsed="false">
      <c r="A986" s="48" t="s">
        <v>1056</v>
      </c>
      <c r="B986" s="48" t="s">
        <v>177</v>
      </c>
      <c r="C986" s="48" t="s">
        <v>1295</v>
      </c>
    </row>
    <row r="987" customFormat="false" ht="15.75" hidden="false" customHeight="false" outlineLevel="0" collapsed="false">
      <c r="A987" s="48" t="s">
        <v>1056</v>
      </c>
      <c r="B987" s="48" t="s">
        <v>177</v>
      </c>
      <c r="C987" s="48" t="s">
        <v>1296</v>
      </c>
    </row>
    <row r="988" customFormat="false" ht="15.75" hidden="false" customHeight="false" outlineLevel="0" collapsed="false">
      <c r="A988" s="48" t="s">
        <v>1056</v>
      </c>
      <c r="B988" s="48" t="s">
        <v>177</v>
      </c>
      <c r="C988" s="48" t="s">
        <v>1297</v>
      </c>
    </row>
    <row r="989" customFormat="false" ht="15.75" hidden="false" customHeight="false" outlineLevel="0" collapsed="false">
      <c r="A989" s="48" t="s">
        <v>1056</v>
      </c>
      <c r="B989" s="48" t="s">
        <v>177</v>
      </c>
      <c r="C989" s="48" t="s">
        <v>1092</v>
      </c>
    </row>
    <row r="990" customFormat="false" ht="15.75" hidden="false" customHeight="false" outlineLevel="0" collapsed="false">
      <c r="A990" s="48" t="s">
        <v>1056</v>
      </c>
      <c r="B990" s="48" t="s">
        <v>177</v>
      </c>
      <c r="C990" s="48" t="s">
        <v>1298</v>
      </c>
    </row>
    <row r="991" customFormat="false" ht="15.75" hidden="false" customHeight="false" outlineLevel="0" collapsed="false">
      <c r="A991" s="48" t="s">
        <v>1056</v>
      </c>
      <c r="B991" s="48" t="s">
        <v>177</v>
      </c>
      <c r="C991" s="48" t="s">
        <v>1299</v>
      </c>
    </row>
    <row r="992" customFormat="false" ht="15.75" hidden="false" customHeight="false" outlineLevel="0" collapsed="false">
      <c r="A992" s="48" t="s">
        <v>1056</v>
      </c>
      <c r="B992" s="48" t="s">
        <v>177</v>
      </c>
      <c r="C992" s="48" t="s">
        <v>1300</v>
      </c>
    </row>
    <row r="993" customFormat="false" ht="15.75" hidden="false" customHeight="false" outlineLevel="0" collapsed="false">
      <c r="A993" s="48" t="s">
        <v>1056</v>
      </c>
      <c r="B993" s="48" t="s">
        <v>177</v>
      </c>
      <c r="C993" s="48" t="s">
        <v>1301</v>
      </c>
    </row>
    <row r="994" customFormat="false" ht="15.75" hidden="false" customHeight="false" outlineLevel="0" collapsed="false">
      <c r="A994" s="48" t="s">
        <v>1056</v>
      </c>
      <c r="B994" s="48" t="s">
        <v>177</v>
      </c>
      <c r="C994" s="48" t="s">
        <v>1302</v>
      </c>
    </row>
    <row r="995" customFormat="false" ht="15.75" hidden="false" customHeight="false" outlineLevel="0" collapsed="false">
      <c r="A995" s="48" t="s">
        <v>1056</v>
      </c>
      <c r="B995" s="48" t="s">
        <v>177</v>
      </c>
      <c r="C995" s="48" t="s">
        <v>1303</v>
      </c>
    </row>
    <row r="996" customFormat="false" ht="15.75" hidden="false" customHeight="false" outlineLevel="0" collapsed="false">
      <c r="A996" s="48" t="s">
        <v>1056</v>
      </c>
      <c r="B996" s="48" t="s">
        <v>177</v>
      </c>
      <c r="C996" s="48" t="s">
        <v>1304</v>
      </c>
    </row>
    <row r="997" customFormat="false" ht="15.75" hidden="false" customHeight="false" outlineLevel="0" collapsed="false">
      <c r="A997" s="48" t="s">
        <v>1056</v>
      </c>
      <c r="B997" s="48" t="s">
        <v>177</v>
      </c>
      <c r="C997" s="48" t="s">
        <v>1305</v>
      </c>
    </row>
    <row r="998" customFormat="false" ht="15.75" hidden="false" customHeight="false" outlineLevel="0" collapsed="false">
      <c r="A998" s="48" t="s">
        <v>1056</v>
      </c>
      <c r="B998" s="48" t="s">
        <v>177</v>
      </c>
      <c r="C998" s="48" t="s">
        <v>651</v>
      </c>
    </row>
    <row r="999" customFormat="false" ht="15.75" hidden="false" customHeight="false" outlineLevel="0" collapsed="false">
      <c r="A999" s="48" t="s">
        <v>1056</v>
      </c>
      <c r="B999" s="48" t="s">
        <v>177</v>
      </c>
      <c r="C999" s="48" t="s">
        <v>1306</v>
      </c>
    </row>
    <row r="1000" customFormat="false" ht="15.75" hidden="false" customHeight="false" outlineLevel="0" collapsed="false">
      <c r="A1000" s="48" t="s">
        <v>1056</v>
      </c>
      <c r="B1000" s="48" t="s">
        <v>177</v>
      </c>
      <c r="C1000" s="48" t="s">
        <v>1307</v>
      </c>
    </row>
    <row r="1001" customFormat="false" ht="15.75" hidden="false" customHeight="false" outlineLevel="0" collapsed="false">
      <c r="A1001" s="48" t="s">
        <v>1056</v>
      </c>
      <c r="B1001" s="48" t="s">
        <v>177</v>
      </c>
      <c r="C1001" s="48" t="s">
        <v>1308</v>
      </c>
    </row>
    <row r="1002" customFormat="false" ht="15.75" hidden="false" customHeight="false" outlineLevel="0" collapsed="false">
      <c r="A1002" s="48" t="s">
        <v>1056</v>
      </c>
      <c r="B1002" s="48" t="s">
        <v>177</v>
      </c>
      <c r="C1002" s="48" t="s">
        <v>1309</v>
      </c>
    </row>
    <row r="1003" customFormat="false" ht="15.75" hidden="false" customHeight="false" outlineLevel="0" collapsed="false">
      <c r="A1003" s="48" t="s">
        <v>1056</v>
      </c>
      <c r="B1003" s="48" t="s">
        <v>177</v>
      </c>
      <c r="C1003" s="48" t="s">
        <v>1310</v>
      </c>
    </row>
    <row r="1004" customFormat="false" ht="15.75" hidden="false" customHeight="false" outlineLevel="0" collapsed="false">
      <c r="A1004" s="48" t="s">
        <v>1056</v>
      </c>
      <c r="B1004" s="48" t="s">
        <v>177</v>
      </c>
      <c r="C1004" s="48" t="s">
        <v>1311</v>
      </c>
    </row>
    <row r="1005" customFormat="false" ht="15.75" hidden="false" customHeight="false" outlineLevel="0" collapsed="false">
      <c r="A1005" s="48" t="s">
        <v>1056</v>
      </c>
      <c r="B1005" s="48" t="s">
        <v>177</v>
      </c>
      <c r="C1005" s="48" t="s">
        <v>1312</v>
      </c>
    </row>
    <row r="1006" customFormat="false" ht="15.75" hidden="false" customHeight="false" outlineLevel="0" collapsed="false">
      <c r="A1006" s="48" t="s">
        <v>1056</v>
      </c>
      <c r="B1006" s="48" t="s">
        <v>180</v>
      </c>
      <c r="C1006" s="48" t="s">
        <v>1313</v>
      </c>
    </row>
    <row r="1007" customFormat="false" ht="15.75" hidden="false" customHeight="false" outlineLevel="0" collapsed="false">
      <c r="A1007" s="48" t="s">
        <v>1056</v>
      </c>
      <c r="B1007" s="48" t="s">
        <v>180</v>
      </c>
      <c r="C1007" s="48" t="s">
        <v>1292</v>
      </c>
    </row>
    <row r="1008" customFormat="false" ht="15.75" hidden="false" customHeight="false" outlineLevel="0" collapsed="false">
      <c r="A1008" s="48" t="s">
        <v>1056</v>
      </c>
      <c r="B1008" s="48" t="s">
        <v>180</v>
      </c>
      <c r="C1008" s="48" t="s">
        <v>1279</v>
      </c>
    </row>
    <row r="1009" customFormat="false" ht="15.75" hidden="false" customHeight="false" outlineLevel="0" collapsed="false">
      <c r="A1009" s="48" t="s">
        <v>1056</v>
      </c>
      <c r="B1009" s="48" t="s">
        <v>180</v>
      </c>
      <c r="C1009" s="48" t="s">
        <v>1288</v>
      </c>
    </row>
    <row r="1010" customFormat="false" ht="15.75" hidden="false" customHeight="false" outlineLevel="0" collapsed="false">
      <c r="A1010" s="48" t="s">
        <v>1056</v>
      </c>
      <c r="B1010" s="48" t="s">
        <v>180</v>
      </c>
      <c r="C1010" s="48" t="s">
        <v>1286</v>
      </c>
    </row>
    <row r="1011" customFormat="false" ht="15.75" hidden="false" customHeight="false" outlineLevel="0" collapsed="false">
      <c r="A1011" s="48" t="s">
        <v>1056</v>
      </c>
      <c r="B1011" s="48" t="s">
        <v>180</v>
      </c>
      <c r="C1011" s="48" t="s">
        <v>1068</v>
      </c>
    </row>
    <row r="1012" customFormat="false" ht="15.75" hidden="false" customHeight="false" outlineLevel="0" collapsed="false">
      <c r="A1012" s="48" t="s">
        <v>1056</v>
      </c>
      <c r="B1012" s="48" t="s">
        <v>180</v>
      </c>
      <c r="C1012" s="48" t="s">
        <v>1282</v>
      </c>
    </row>
    <row r="1013" customFormat="false" ht="15.75" hidden="false" customHeight="false" outlineLevel="0" collapsed="false">
      <c r="A1013" s="48" t="s">
        <v>1056</v>
      </c>
      <c r="B1013" s="48" t="s">
        <v>180</v>
      </c>
      <c r="C1013" s="48" t="s">
        <v>1297</v>
      </c>
    </row>
    <row r="1014" customFormat="false" ht="15.75" hidden="false" customHeight="false" outlineLevel="0" collapsed="false">
      <c r="A1014" s="48" t="s">
        <v>1056</v>
      </c>
      <c r="B1014" s="48" t="s">
        <v>180</v>
      </c>
      <c r="C1014" s="48" t="s">
        <v>1250</v>
      </c>
    </row>
    <row r="1015" customFormat="false" ht="15.75" hidden="false" customHeight="false" outlineLevel="0" collapsed="false">
      <c r="A1015" s="48" t="s">
        <v>1056</v>
      </c>
      <c r="B1015" s="48" t="s">
        <v>180</v>
      </c>
      <c r="C1015" s="48" t="s">
        <v>1179</v>
      </c>
    </row>
    <row r="1016" customFormat="false" ht="15.75" hidden="false" customHeight="false" outlineLevel="0" collapsed="false">
      <c r="A1016" s="48" t="s">
        <v>1056</v>
      </c>
      <c r="B1016" s="48" t="s">
        <v>180</v>
      </c>
      <c r="C1016" s="48" t="s">
        <v>1299</v>
      </c>
    </row>
    <row r="1017" customFormat="false" ht="15.75" hidden="false" customHeight="false" outlineLevel="0" collapsed="false">
      <c r="A1017" s="48" t="s">
        <v>1056</v>
      </c>
      <c r="B1017" s="48" t="s">
        <v>180</v>
      </c>
      <c r="C1017" s="48" t="s">
        <v>1314</v>
      </c>
    </row>
    <row r="1018" customFormat="false" ht="15.75" hidden="false" customHeight="false" outlineLevel="0" collapsed="false">
      <c r="A1018" s="48" t="s">
        <v>1056</v>
      </c>
      <c r="B1018" s="48" t="s">
        <v>180</v>
      </c>
      <c r="C1018" s="48" t="s">
        <v>1300</v>
      </c>
    </row>
    <row r="1019" customFormat="false" ht="15.75" hidden="false" customHeight="false" outlineLevel="0" collapsed="false">
      <c r="A1019" s="48" t="s">
        <v>1056</v>
      </c>
      <c r="B1019" s="48" t="s">
        <v>180</v>
      </c>
      <c r="C1019" s="48" t="s">
        <v>1301</v>
      </c>
    </row>
    <row r="1020" customFormat="false" ht="15.75" hidden="false" customHeight="false" outlineLevel="0" collapsed="false">
      <c r="A1020" s="48" t="s">
        <v>1056</v>
      </c>
      <c r="B1020" s="48" t="s">
        <v>180</v>
      </c>
      <c r="C1020" s="48" t="s">
        <v>1302</v>
      </c>
    </row>
    <row r="1021" customFormat="false" ht="15.75" hidden="false" customHeight="false" outlineLevel="0" collapsed="false">
      <c r="A1021" s="48" t="s">
        <v>1056</v>
      </c>
      <c r="B1021" s="48" t="s">
        <v>180</v>
      </c>
      <c r="C1021" s="48" t="s">
        <v>1304</v>
      </c>
    </row>
    <row r="1022" customFormat="false" ht="15.75" hidden="false" customHeight="false" outlineLevel="0" collapsed="false">
      <c r="A1022" s="48" t="s">
        <v>1056</v>
      </c>
      <c r="B1022" s="48" t="s">
        <v>180</v>
      </c>
      <c r="C1022" s="48" t="s">
        <v>1315</v>
      </c>
    </row>
    <row r="1023" customFormat="false" ht="15.75" hidden="false" customHeight="false" outlineLevel="0" collapsed="false">
      <c r="A1023" s="48" t="s">
        <v>1056</v>
      </c>
      <c r="B1023" s="48" t="s">
        <v>180</v>
      </c>
      <c r="C1023" s="48" t="s">
        <v>1305</v>
      </c>
    </row>
    <row r="1024" customFormat="false" ht="15.75" hidden="false" customHeight="false" outlineLevel="0" collapsed="false">
      <c r="A1024" s="48" t="s">
        <v>1056</v>
      </c>
      <c r="B1024" s="48" t="s">
        <v>180</v>
      </c>
      <c r="C1024" s="48" t="s">
        <v>1316</v>
      </c>
    </row>
    <row r="1025" customFormat="false" ht="15.75" hidden="false" customHeight="false" outlineLevel="0" collapsed="false">
      <c r="A1025" s="48" t="s">
        <v>1056</v>
      </c>
      <c r="B1025" s="48" t="s">
        <v>180</v>
      </c>
      <c r="C1025" s="48" t="s">
        <v>1317</v>
      </c>
    </row>
    <row r="1026" customFormat="false" ht="15.75" hidden="false" customHeight="false" outlineLevel="0" collapsed="false">
      <c r="A1026" s="48" t="s">
        <v>1056</v>
      </c>
      <c r="B1026" s="48" t="s">
        <v>180</v>
      </c>
      <c r="C1026" s="48" t="s">
        <v>1307</v>
      </c>
    </row>
    <row r="1027" customFormat="false" ht="15.75" hidden="false" customHeight="false" outlineLevel="0" collapsed="false">
      <c r="A1027" s="48" t="s">
        <v>1056</v>
      </c>
      <c r="B1027" s="48" t="s">
        <v>180</v>
      </c>
      <c r="C1027" s="48" t="s">
        <v>1310</v>
      </c>
    </row>
    <row r="1028" customFormat="false" ht="15.75" hidden="false" customHeight="false" outlineLevel="0" collapsed="false">
      <c r="A1028" s="48" t="s">
        <v>1056</v>
      </c>
      <c r="B1028" s="48" t="s">
        <v>180</v>
      </c>
      <c r="C1028" s="48" t="s">
        <v>1311</v>
      </c>
    </row>
    <row r="1029" customFormat="false" ht="15.75" hidden="false" customHeight="false" outlineLevel="0" collapsed="false">
      <c r="A1029" s="48" t="s">
        <v>1056</v>
      </c>
      <c r="B1029" s="48" t="s">
        <v>183</v>
      </c>
      <c r="C1029" s="48" t="s">
        <v>1280</v>
      </c>
    </row>
    <row r="1030" customFormat="false" ht="15.75" hidden="false" customHeight="false" outlineLevel="0" collapsed="false">
      <c r="A1030" s="48" t="s">
        <v>1056</v>
      </c>
      <c r="B1030" s="48" t="s">
        <v>183</v>
      </c>
      <c r="C1030" s="48" t="s">
        <v>1318</v>
      </c>
    </row>
    <row r="1031" customFormat="false" ht="15.75" hidden="false" customHeight="false" outlineLevel="0" collapsed="false">
      <c r="A1031" s="48" t="s">
        <v>1056</v>
      </c>
      <c r="B1031" s="48" t="s">
        <v>183</v>
      </c>
      <c r="C1031" s="48" t="s">
        <v>1319</v>
      </c>
    </row>
    <row r="1032" customFormat="false" ht="15.75" hidden="false" customHeight="false" outlineLevel="0" collapsed="false">
      <c r="A1032" s="48" t="s">
        <v>1056</v>
      </c>
      <c r="B1032" s="48" t="s">
        <v>183</v>
      </c>
      <c r="C1032" s="48" t="s">
        <v>1286</v>
      </c>
    </row>
    <row r="1033" customFormat="false" ht="15.75" hidden="false" customHeight="false" outlineLevel="0" collapsed="false">
      <c r="A1033" s="48" t="s">
        <v>1056</v>
      </c>
      <c r="B1033" s="48" t="s">
        <v>183</v>
      </c>
      <c r="C1033" s="48" t="s">
        <v>1320</v>
      </c>
    </row>
    <row r="1034" customFormat="false" ht="15.75" hidden="false" customHeight="false" outlineLevel="0" collapsed="false">
      <c r="A1034" s="48" t="s">
        <v>1056</v>
      </c>
      <c r="B1034" s="48" t="s">
        <v>183</v>
      </c>
      <c r="C1034" s="48" t="s">
        <v>1321</v>
      </c>
    </row>
    <row r="1035" customFormat="false" ht="15.75" hidden="false" customHeight="false" outlineLevel="0" collapsed="false">
      <c r="A1035" s="48" t="s">
        <v>1056</v>
      </c>
      <c r="B1035" s="48" t="s">
        <v>183</v>
      </c>
      <c r="C1035" s="48" t="s">
        <v>1068</v>
      </c>
    </row>
    <row r="1036" customFormat="false" ht="15.75" hidden="false" customHeight="false" outlineLevel="0" collapsed="false">
      <c r="A1036" s="48" t="s">
        <v>1056</v>
      </c>
      <c r="B1036" s="48" t="s">
        <v>183</v>
      </c>
      <c r="C1036" s="48" t="s">
        <v>644</v>
      </c>
    </row>
    <row r="1037" customFormat="false" ht="15.75" hidden="false" customHeight="false" outlineLevel="0" collapsed="false">
      <c r="A1037" s="48" t="s">
        <v>1056</v>
      </c>
      <c r="B1037" s="48" t="s">
        <v>183</v>
      </c>
      <c r="C1037" s="48" t="s">
        <v>1289</v>
      </c>
    </row>
    <row r="1038" customFormat="false" ht="15.75" hidden="false" customHeight="false" outlineLevel="0" collapsed="false">
      <c r="A1038" s="48" t="s">
        <v>1056</v>
      </c>
      <c r="B1038" s="48" t="s">
        <v>183</v>
      </c>
      <c r="C1038" s="48" t="s">
        <v>1322</v>
      </c>
    </row>
    <row r="1039" customFormat="false" ht="15.75" hidden="false" customHeight="false" outlineLevel="0" collapsed="false">
      <c r="A1039" s="48" t="s">
        <v>1056</v>
      </c>
      <c r="B1039" s="48" t="s">
        <v>183</v>
      </c>
      <c r="C1039" s="48" t="s">
        <v>1323</v>
      </c>
    </row>
    <row r="1040" customFormat="false" ht="15.75" hidden="false" customHeight="false" outlineLevel="0" collapsed="false">
      <c r="A1040" s="48" t="s">
        <v>1056</v>
      </c>
      <c r="B1040" s="48" t="s">
        <v>183</v>
      </c>
      <c r="C1040" s="48" t="s">
        <v>1324</v>
      </c>
    </row>
    <row r="1041" customFormat="false" ht="15.75" hidden="false" customHeight="false" outlineLevel="0" collapsed="false">
      <c r="A1041" s="48" t="s">
        <v>1056</v>
      </c>
      <c r="B1041" s="48" t="s">
        <v>183</v>
      </c>
      <c r="C1041" s="48" t="s">
        <v>1325</v>
      </c>
    </row>
    <row r="1042" customFormat="false" ht="15.75" hidden="false" customHeight="false" outlineLevel="0" collapsed="false">
      <c r="A1042" s="48" t="s">
        <v>1056</v>
      </c>
      <c r="B1042" s="48" t="s">
        <v>183</v>
      </c>
      <c r="C1042" s="48" t="s">
        <v>1092</v>
      </c>
    </row>
    <row r="1043" customFormat="false" ht="15.75" hidden="false" customHeight="false" outlineLevel="0" collapsed="false">
      <c r="A1043" s="48" t="s">
        <v>1056</v>
      </c>
      <c r="B1043" s="48" t="s">
        <v>183</v>
      </c>
      <c r="C1043" s="48" t="s">
        <v>649</v>
      </c>
    </row>
    <row r="1044" customFormat="false" ht="15.75" hidden="false" customHeight="false" outlineLevel="0" collapsed="false">
      <c r="A1044" s="48" t="s">
        <v>1056</v>
      </c>
      <c r="B1044" s="48" t="s">
        <v>183</v>
      </c>
      <c r="C1044" s="48" t="s">
        <v>1326</v>
      </c>
    </row>
    <row r="1045" customFormat="false" ht="15.75" hidden="false" customHeight="false" outlineLevel="0" collapsed="false">
      <c r="A1045" s="48" t="s">
        <v>1056</v>
      </c>
      <c r="B1045" s="48" t="s">
        <v>188</v>
      </c>
      <c r="C1045" s="48" t="s">
        <v>1327</v>
      </c>
    </row>
    <row r="1046" customFormat="false" ht="15.75" hidden="false" customHeight="false" outlineLevel="0" collapsed="false">
      <c r="A1046" s="48" t="s">
        <v>1056</v>
      </c>
      <c r="B1046" s="48" t="s">
        <v>188</v>
      </c>
      <c r="C1046" s="48" t="s">
        <v>1328</v>
      </c>
    </row>
    <row r="1047" customFormat="false" ht="15.75" hidden="false" customHeight="false" outlineLevel="0" collapsed="false">
      <c r="A1047" s="48" t="s">
        <v>1056</v>
      </c>
      <c r="B1047" s="48" t="s">
        <v>188</v>
      </c>
      <c r="C1047" s="48" t="s">
        <v>1329</v>
      </c>
    </row>
    <row r="1048" customFormat="false" ht="15.75" hidden="false" customHeight="false" outlineLevel="0" collapsed="false">
      <c r="A1048" s="48" t="s">
        <v>1056</v>
      </c>
      <c r="B1048" s="48" t="s">
        <v>188</v>
      </c>
      <c r="C1048" s="48" t="s">
        <v>1330</v>
      </c>
    </row>
    <row r="1049" customFormat="false" ht="15.75" hidden="false" customHeight="false" outlineLevel="0" collapsed="false">
      <c r="A1049" s="48" t="s">
        <v>1056</v>
      </c>
      <c r="B1049" s="48" t="s">
        <v>188</v>
      </c>
      <c r="C1049" s="48" t="s">
        <v>1068</v>
      </c>
    </row>
    <row r="1050" customFormat="false" ht="15.75" hidden="false" customHeight="false" outlineLevel="0" collapsed="false">
      <c r="A1050" s="48" t="s">
        <v>1056</v>
      </c>
      <c r="B1050" s="48" t="s">
        <v>188</v>
      </c>
      <c r="C1050" s="48" t="s">
        <v>1331</v>
      </c>
    </row>
    <row r="1051" customFormat="false" ht="15.75" hidden="false" customHeight="false" outlineLevel="0" collapsed="false">
      <c r="A1051" s="48" t="s">
        <v>1056</v>
      </c>
      <c r="B1051" s="48" t="s">
        <v>188</v>
      </c>
      <c r="C1051" s="48" t="s">
        <v>1332</v>
      </c>
    </row>
    <row r="1052" customFormat="false" ht="15.75" hidden="false" customHeight="false" outlineLevel="0" collapsed="false">
      <c r="A1052" s="48" t="s">
        <v>1056</v>
      </c>
      <c r="B1052" s="48" t="s">
        <v>188</v>
      </c>
      <c r="C1052" s="48" t="s">
        <v>1333</v>
      </c>
    </row>
    <row r="1053" customFormat="false" ht="15.75" hidden="false" customHeight="false" outlineLevel="0" collapsed="false">
      <c r="A1053" s="48" t="s">
        <v>1056</v>
      </c>
      <c r="B1053" s="48" t="s">
        <v>188</v>
      </c>
      <c r="C1053" s="48" t="s">
        <v>1092</v>
      </c>
    </row>
    <row r="1054" customFormat="false" ht="15.75" hidden="false" customHeight="false" outlineLevel="0" collapsed="false">
      <c r="A1054" s="48" t="s">
        <v>1056</v>
      </c>
      <c r="B1054" s="48" t="s">
        <v>188</v>
      </c>
      <c r="C1054" s="48" t="s">
        <v>1334</v>
      </c>
    </row>
    <row r="1055" customFormat="false" ht="15.75" hidden="false" customHeight="false" outlineLevel="0" collapsed="false">
      <c r="A1055" s="48" t="s">
        <v>1056</v>
      </c>
      <c r="B1055" s="48" t="s">
        <v>194</v>
      </c>
      <c r="C1055" s="48" t="s">
        <v>1335</v>
      </c>
    </row>
    <row r="1056" customFormat="false" ht="15.75" hidden="false" customHeight="false" outlineLevel="0" collapsed="false">
      <c r="A1056" s="48" t="s">
        <v>1056</v>
      </c>
      <c r="B1056" s="48" t="s">
        <v>194</v>
      </c>
      <c r="C1056" s="48" t="s">
        <v>1336</v>
      </c>
    </row>
    <row r="1057" customFormat="false" ht="15.75" hidden="false" customHeight="false" outlineLevel="0" collapsed="false">
      <c r="A1057" s="48" t="s">
        <v>1056</v>
      </c>
      <c r="B1057" s="48" t="s">
        <v>194</v>
      </c>
      <c r="C1057" s="48" t="s">
        <v>1337</v>
      </c>
    </row>
    <row r="1058" customFormat="false" ht="15.75" hidden="false" customHeight="false" outlineLevel="0" collapsed="false">
      <c r="A1058" s="48" t="s">
        <v>1056</v>
      </c>
      <c r="B1058" s="48" t="s">
        <v>194</v>
      </c>
      <c r="C1058" s="48" t="s">
        <v>1338</v>
      </c>
    </row>
    <row r="1059" customFormat="false" ht="15.75" hidden="false" customHeight="false" outlineLevel="0" collapsed="false">
      <c r="A1059" s="48" t="s">
        <v>1056</v>
      </c>
      <c r="B1059" s="48" t="s">
        <v>194</v>
      </c>
      <c r="C1059" s="48" t="s">
        <v>1339</v>
      </c>
    </row>
    <row r="1060" customFormat="false" ht="15.75" hidden="false" customHeight="false" outlineLevel="0" collapsed="false">
      <c r="A1060" s="48" t="s">
        <v>1056</v>
      </c>
      <c r="B1060" s="48" t="s">
        <v>194</v>
      </c>
      <c r="C1060" s="48" t="s">
        <v>1340</v>
      </c>
    </row>
    <row r="1061" customFormat="false" ht="15.75" hidden="false" customHeight="false" outlineLevel="0" collapsed="false">
      <c r="A1061" s="48" t="s">
        <v>1056</v>
      </c>
      <c r="B1061" s="48" t="s">
        <v>194</v>
      </c>
      <c r="C1061" s="48" t="s">
        <v>1341</v>
      </c>
    </row>
    <row r="1062" customFormat="false" ht="15.75" hidden="false" customHeight="false" outlineLevel="0" collapsed="false">
      <c r="A1062" s="48" t="s">
        <v>1056</v>
      </c>
      <c r="B1062" s="48" t="s">
        <v>194</v>
      </c>
      <c r="C1062" s="48" t="s">
        <v>943</v>
      </c>
    </row>
    <row r="1063" customFormat="false" ht="15.75" hidden="false" customHeight="false" outlineLevel="0" collapsed="false">
      <c r="A1063" s="48" t="s">
        <v>1056</v>
      </c>
      <c r="B1063" s="48" t="s">
        <v>197</v>
      </c>
      <c r="C1063" s="48" t="s">
        <v>1236</v>
      </c>
    </row>
    <row r="1064" customFormat="false" ht="15.75" hidden="false" customHeight="false" outlineLevel="0" collapsed="false">
      <c r="A1064" s="48" t="s">
        <v>1056</v>
      </c>
      <c r="B1064" s="48" t="s">
        <v>197</v>
      </c>
      <c r="C1064" s="48" t="s">
        <v>1094</v>
      </c>
    </row>
    <row r="1065" customFormat="false" ht="15.75" hidden="false" customHeight="false" outlineLevel="0" collapsed="false">
      <c r="A1065" s="48" t="s">
        <v>1056</v>
      </c>
      <c r="B1065" s="48" t="s">
        <v>197</v>
      </c>
      <c r="C1065" s="48" t="s">
        <v>1095</v>
      </c>
    </row>
    <row r="1066" customFormat="false" ht="15.75" hidden="false" customHeight="false" outlineLevel="0" collapsed="false">
      <c r="A1066" s="48" t="s">
        <v>1056</v>
      </c>
      <c r="B1066" s="48" t="s">
        <v>197</v>
      </c>
      <c r="C1066" s="48" t="s">
        <v>1342</v>
      </c>
    </row>
    <row r="1067" customFormat="false" ht="15.75" hidden="false" customHeight="false" outlineLevel="0" collapsed="false">
      <c r="A1067" s="48" t="s">
        <v>1056</v>
      </c>
      <c r="B1067" s="48" t="s">
        <v>197</v>
      </c>
      <c r="C1067" s="48" t="s">
        <v>1074</v>
      </c>
    </row>
    <row r="1068" customFormat="false" ht="15.75" hidden="false" customHeight="false" outlineLevel="0" collapsed="false">
      <c r="A1068" s="48" t="s">
        <v>1056</v>
      </c>
      <c r="B1068" s="48" t="s">
        <v>197</v>
      </c>
      <c r="C1068" s="48" t="s">
        <v>1343</v>
      </c>
    </row>
    <row r="1069" customFormat="false" ht="15.75" hidden="false" customHeight="false" outlineLevel="0" collapsed="false">
      <c r="A1069" s="48" t="s">
        <v>1056</v>
      </c>
      <c r="B1069" s="48" t="s">
        <v>197</v>
      </c>
      <c r="C1069" s="48" t="s">
        <v>1099</v>
      </c>
    </row>
    <row r="1070" customFormat="false" ht="15.75" hidden="false" customHeight="false" outlineLevel="0" collapsed="false">
      <c r="A1070" s="48" t="s">
        <v>1056</v>
      </c>
      <c r="B1070" s="48" t="s">
        <v>197</v>
      </c>
      <c r="C1070" s="48" t="s">
        <v>1344</v>
      </c>
    </row>
    <row r="1071" customFormat="false" ht="15.75" hidden="false" customHeight="false" outlineLevel="0" collapsed="false">
      <c r="A1071" s="48" t="s">
        <v>1056</v>
      </c>
      <c r="B1071" s="48" t="s">
        <v>197</v>
      </c>
      <c r="C1071" s="48" t="s">
        <v>1211</v>
      </c>
    </row>
    <row r="1072" customFormat="false" ht="15.75" hidden="false" customHeight="false" outlineLevel="0" collapsed="false">
      <c r="A1072" s="48" t="s">
        <v>1056</v>
      </c>
      <c r="B1072" s="48" t="s">
        <v>197</v>
      </c>
      <c r="C1072" s="48" t="s">
        <v>1345</v>
      </c>
    </row>
    <row r="1073" customFormat="false" ht="15.75" hidden="false" customHeight="false" outlineLevel="0" collapsed="false">
      <c r="A1073" s="48" t="s">
        <v>1056</v>
      </c>
      <c r="B1073" s="48" t="s">
        <v>197</v>
      </c>
      <c r="C1073" s="48" t="s">
        <v>1346</v>
      </c>
    </row>
    <row r="1074" customFormat="false" ht="15.75" hidden="false" customHeight="false" outlineLevel="0" collapsed="false">
      <c r="A1074" s="48" t="s">
        <v>1056</v>
      </c>
      <c r="B1074" s="48" t="s">
        <v>197</v>
      </c>
      <c r="C1074" s="48" t="s">
        <v>1347</v>
      </c>
    </row>
    <row r="1075" customFormat="false" ht="15.75" hidden="false" customHeight="false" outlineLevel="0" collapsed="false">
      <c r="A1075" s="48" t="s">
        <v>1056</v>
      </c>
      <c r="B1075" s="48" t="s">
        <v>197</v>
      </c>
      <c r="C1075" s="48" t="s">
        <v>1200</v>
      </c>
    </row>
    <row r="1076" customFormat="false" ht="15.75" hidden="false" customHeight="false" outlineLevel="0" collapsed="false">
      <c r="A1076" s="48" t="s">
        <v>1056</v>
      </c>
      <c r="B1076" s="48" t="s">
        <v>197</v>
      </c>
      <c r="C1076" s="48" t="s">
        <v>1177</v>
      </c>
    </row>
    <row r="1077" customFormat="false" ht="15.75" hidden="false" customHeight="false" outlineLevel="0" collapsed="false">
      <c r="A1077" s="48" t="s">
        <v>1056</v>
      </c>
      <c r="B1077" s="48" t="s">
        <v>197</v>
      </c>
      <c r="C1077" s="48" t="s">
        <v>1348</v>
      </c>
    </row>
    <row r="1078" customFormat="false" ht="15.75" hidden="false" customHeight="false" outlineLevel="0" collapsed="false">
      <c r="A1078" s="48" t="s">
        <v>1056</v>
      </c>
      <c r="B1078" s="48" t="s">
        <v>197</v>
      </c>
      <c r="C1078" s="48" t="s">
        <v>1349</v>
      </c>
    </row>
    <row r="1079" customFormat="false" ht="15.75" hidden="false" customHeight="false" outlineLevel="0" collapsed="false">
      <c r="A1079" s="48" t="s">
        <v>1056</v>
      </c>
      <c r="B1079" s="48" t="s">
        <v>197</v>
      </c>
      <c r="C1079" s="48" t="s">
        <v>1350</v>
      </c>
    </row>
    <row r="1080" customFormat="false" ht="15.75" hidden="false" customHeight="false" outlineLevel="0" collapsed="false">
      <c r="A1080" s="48" t="s">
        <v>1056</v>
      </c>
      <c r="B1080" s="48" t="s">
        <v>197</v>
      </c>
      <c r="C1080" s="48" t="s">
        <v>1216</v>
      </c>
    </row>
    <row r="1081" customFormat="false" ht="15.75" hidden="false" customHeight="false" outlineLevel="0" collapsed="false">
      <c r="A1081" s="48" t="s">
        <v>1056</v>
      </c>
      <c r="B1081" s="48" t="s">
        <v>197</v>
      </c>
      <c r="C1081" s="48" t="s">
        <v>1195</v>
      </c>
    </row>
    <row r="1082" customFormat="false" ht="15.75" hidden="false" customHeight="false" outlineLevel="0" collapsed="false">
      <c r="A1082" s="48" t="s">
        <v>1056</v>
      </c>
      <c r="B1082" s="48" t="s">
        <v>197</v>
      </c>
      <c r="C1082" s="48" t="s">
        <v>1207</v>
      </c>
    </row>
    <row r="1083" customFormat="false" ht="15.75" hidden="false" customHeight="false" outlineLevel="0" collapsed="false">
      <c r="A1083" s="48" t="s">
        <v>1056</v>
      </c>
      <c r="B1083" s="48" t="s">
        <v>197</v>
      </c>
      <c r="C1083" s="48" t="s">
        <v>1123</v>
      </c>
    </row>
    <row r="1084" customFormat="false" ht="15.75" hidden="false" customHeight="false" outlineLevel="0" collapsed="false">
      <c r="A1084" s="48" t="s">
        <v>1056</v>
      </c>
      <c r="B1084" s="48" t="s">
        <v>197</v>
      </c>
      <c r="C1084" s="48" t="s">
        <v>1351</v>
      </c>
    </row>
    <row r="1085" customFormat="false" ht="15.75" hidden="false" customHeight="false" outlineLevel="0" collapsed="false">
      <c r="A1085" s="48" t="s">
        <v>1056</v>
      </c>
      <c r="B1085" s="48" t="s">
        <v>197</v>
      </c>
      <c r="C1085" s="48" t="s">
        <v>1201</v>
      </c>
    </row>
    <row r="1086" customFormat="false" ht="15.75" hidden="false" customHeight="false" outlineLevel="0" collapsed="false">
      <c r="A1086" s="48" t="s">
        <v>1056</v>
      </c>
      <c r="B1086" s="48" t="s">
        <v>197</v>
      </c>
      <c r="C1086" s="48" t="s">
        <v>1352</v>
      </c>
    </row>
    <row r="1087" customFormat="false" ht="15.75" hidden="false" customHeight="false" outlineLevel="0" collapsed="false">
      <c r="A1087" s="48" t="s">
        <v>1056</v>
      </c>
      <c r="B1087" s="48" t="s">
        <v>197</v>
      </c>
      <c r="C1087" s="48" t="s">
        <v>1353</v>
      </c>
    </row>
    <row r="1088" customFormat="false" ht="15.75" hidden="false" customHeight="false" outlineLevel="0" collapsed="false">
      <c r="A1088" s="48" t="s">
        <v>1056</v>
      </c>
      <c r="B1088" s="48" t="s">
        <v>197</v>
      </c>
      <c r="C1088" s="48" t="s">
        <v>1245</v>
      </c>
    </row>
    <row r="1089" customFormat="false" ht="15.75" hidden="false" customHeight="false" outlineLevel="0" collapsed="false">
      <c r="A1089" s="48" t="s">
        <v>1056</v>
      </c>
      <c r="B1089" s="48" t="s">
        <v>197</v>
      </c>
      <c r="C1089" s="48" t="s">
        <v>1354</v>
      </c>
    </row>
    <row r="1090" customFormat="false" ht="15.75" hidden="false" customHeight="false" outlineLevel="0" collapsed="false">
      <c r="A1090" s="48" t="s">
        <v>1056</v>
      </c>
      <c r="B1090" s="48" t="s">
        <v>197</v>
      </c>
      <c r="C1090" s="48" t="s">
        <v>1355</v>
      </c>
    </row>
    <row r="1091" customFormat="false" ht="15.75" hidden="false" customHeight="false" outlineLevel="0" collapsed="false">
      <c r="A1091" s="48" t="s">
        <v>1056</v>
      </c>
      <c r="B1091" s="48" t="s">
        <v>197</v>
      </c>
      <c r="C1091" s="48" t="s">
        <v>1356</v>
      </c>
    </row>
    <row r="1092" customFormat="false" ht="15.75" hidden="false" customHeight="false" outlineLevel="0" collapsed="false">
      <c r="A1092" s="48" t="s">
        <v>1056</v>
      </c>
      <c r="B1092" s="48" t="s">
        <v>197</v>
      </c>
      <c r="C1092" s="48" t="s">
        <v>1357</v>
      </c>
    </row>
    <row r="1093" customFormat="false" ht="15.75" hidden="false" customHeight="false" outlineLevel="0" collapsed="false">
      <c r="A1093" s="48" t="s">
        <v>1056</v>
      </c>
      <c r="B1093" s="48" t="s">
        <v>197</v>
      </c>
      <c r="C1093" s="48" t="s">
        <v>1358</v>
      </c>
    </row>
    <row r="1094" customFormat="false" ht="15.75" hidden="false" customHeight="false" outlineLevel="0" collapsed="false">
      <c r="A1094" s="48" t="s">
        <v>1056</v>
      </c>
      <c r="B1094" s="48" t="s">
        <v>202</v>
      </c>
      <c r="C1094" s="48" t="s">
        <v>1094</v>
      </c>
    </row>
    <row r="1095" customFormat="false" ht="15.75" hidden="false" customHeight="false" outlineLevel="0" collapsed="false">
      <c r="A1095" s="48" t="s">
        <v>1056</v>
      </c>
      <c r="B1095" s="48" t="s">
        <v>202</v>
      </c>
      <c r="C1095" s="48" t="s">
        <v>1095</v>
      </c>
    </row>
    <row r="1096" customFormat="false" ht="15.75" hidden="false" customHeight="false" outlineLevel="0" collapsed="false">
      <c r="A1096" s="48" t="s">
        <v>1056</v>
      </c>
      <c r="B1096" s="48" t="s">
        <v>202</v>
      </c>
      <c r="C1096" s="48" t="s">
        <v>1191</v>
      </c>
    </row>
    <row r="1097" customFormat="false" ht="15.75" hidden="false" customHeight="false" outlineLevel="0" collapsed="false">
      <c r="A1097" s="48" t="s">
        <v>1056</v>
      </c>
      <c r="B1097" s="48" t="s">
        <v>202</v>
      </c>
      <c r="C1097" s="48" t="s">
        <v>1181</v>
      </c>
    </row>
    <row r="1098" customFormat="false" ht="15.75" hidden="false" customHeight="false" outlineLevel="0" collapsed="false">
      <c r="A1098" s="48" t="s">
        <v>1056</v>
      </c>
      <c r="B1098" s="48" t="s">
        <v>202</v>
      </c>
      <c r="C1098" s="48" t="s">
        <v>1359</v>
      </c>
    </row>
    <row r="1099" customFormat="false" ht="15.75" hidden="false" customHeight="false" outlineLevel="0" collapsed="false">
      <c r="A1099" s="48" t="s">
        <v>1056</v>
      </c>
      <c r="B1099" s="48" t="s">
        <v>202</v>
      </c>
      <c r="C1099" s="48" t="s">
        <v>1360</v>
      </c>
    </row>
    <row r="1100" customFormat="false" ht="15.75" hidden="false" customHeight="false" outlineLevel="0" collapsed="false">
      <c r="A1100" s="48" t="s">
        <v>1056</v>
      </c>
      <c r="B1100" s="48" t="s">
        <v>202</v>
      </c>
      <c r="C1100" s="48" t="s">
        <v>1361</v>
      </c>
    </row>
    <row r="1101" customFormat="false" ht="15.75" hidden="false" customHeight="false" outlineLevel="0" collapsed="false">
      <c r="A1101" s="48" t="s">
        <v>1056</v>
      </c>
      <c r="B1101" s="48" t="s">
        <v>202</v>
      </c>
      <c r="C1101" s="48" t="s">
        <v>1175</v>
      </c>
    </row>
    <row r="1102" customFormat="false" ht="15.75" hidden="false" customHeight="false" outlineLevel="0" collapsed="false">
      <c r="A1102" s="48" t="s">
        <v>1056</v>
      </c>
      <c r="B1102" s="48" t="s">
        <v>202</v>
      </c>
      <c r="C1102" s="48" t="s">
        <v>1162</v>
      </c>
    </row>
    <row r="1103" customFormat="false" ht="15.75" hidden="false" customHeight="false" outlineLevel="0" collapsed="false">
      <c r="A1103" s="48" t="s">
        <v>1056</v>
      </c>
      <c r="B1103" s="48" t="s">
        <v>202</v>
      </c>
      <c r="C1103" s="48" t="s">
        <v>1362</v>
      </c>
    </row>
    <row r="1104" customFormat="false" ht="15.75" hidden="false" customHeight="false" outlineLevel="0" collapsed="false">
      <c r="A1104" s="48" t="s">
        <v>1056</v>
      </c>
      <c r="B1104" s="48" t="s">
        <v>202</v>
      </c>
      <c r="C1104" s="48" t="s">
        <v>1192</v>
      </c>
    </row>
    <row r="1105" customFormat="false" ht="15.75" hidden="false" customHeight="false" outlineLevel="0" collapsed="false">
      <c r="A1105" s="48" t="s">
        <v>1056</v>
      </c>
      <c r="B1105" s="48" t="s">
        <v>202</v>
      </c>
      <c r="C1105" s="48" t="s">
        <v>644</v>
      </c>
    </row>
    <row r="1106" customFormat="false" ht="15.75" hidden="false" customHeight="false" outlineLevel="0" collapsed="false">
      <c r="A1106" s="48" t="s">
        <v>1056</v>
      </c>
      <c r="B1106" s="48" t="s">
        <v>202</v>
      </c>
      <c r="C1106" s="48" t="s">
        <v>1210</v>
      </c>
    </row>
    <row r="1107" customFormat="false" ht="15.75" hidden="false" customHeight="false" outlineLevel="0" collapsed="false">
      <c r="A1107" s="48" t="s">
        <v>1056</v>
      </c>
      <c r="B1107" s="48" t="s">
        <v>202</v>
      </c>
      <c r="C1107" s="48" t="s">
        <v>1363</v>
      </c>
    </row>
    <row r="1108" customFormat="false" ht="15.75" hidden="false" customHeight="false" outlineLevel="0" collapsed="false">
      <c r="A1108" s="48" t="s">
        <v>1056</v>
      </c>
      <c r="B1108" s="48" t="s">
        <v>202</v>
      </c>
      <c r="C1108" s="48" t="s">
        <v>1177</v>
      </c>
    </row>
    <row r="1109" customFormat="false" ht="15.75" hidden="false" customHeight="false" outlineLevel="0" collapsed="false">
      <c r="A1109" s="48" t="s">
        <v>1056</v>
      </c>
      <c r="B1109" s="48" t="s">
        <v>202</v>
      </c>
      <c r="C1109" s="48" t="s">
        <v>1104</v>
      </c>
    </row>
    <row r="1110" customFormat="false" ht="15.75" hidden="false" customHeight="false" outlineLevel="0" collapsed="false">
      <c r="A1110" s="48" t="s">
        <v>1056</v>
      </c>
      <c r="B1110" s="48" t="s">
        <v>202</v>
      </c>
      <c r="C1110" s="48" t="s">
        <v>1145</v>
      </c>
    </row>
    <row r="1111" customFormat="false" ht="15.75" hidden="false" customHeight="false" outlineLevel="0" collapsed="false">
      <c r="A1111" s="48" t="s">
        <v>1056</v>
      </c>
      <c r="B1111" s="48" t="s">
        <v>202</v>
      </c>
      <c r="C1111" s="48" t="s">
        <v>1123</v>
      </c>
    </row>
    <row r="1112" customFormat="false" ht="15.75" hidden="false" customHeight="false" outlineLevel="0" collapsed="false">
      <c r="A1112" s="48" t="s">
        <v>1056</v>
      </c>
      <c r="B1112" s="48" t="s">
        <v>202</v>
      </c>
      <c r="C1112" s="48" t="s">
        <v>1179</v>
      </c>
    </row>
    <row r="1113" customFormat="false" ht="15.75" hidden="false" customHeight="false" outlineLevel="0" collapsed="false">
      <c r="A1113" s="48" t="s">
        <v>1056</v>
      </c>
      <c r="B1113" s="48" t="s">
        <v>202</v>
      </c>
      <c r="C1113" s="48" t="s">
        <v>1211</v>
      </c>
    </row>
    <row r="1114" customFormat="false" ht="15.75" hidden="false" customHeight="false" outlineLevel="0" collapsed="false">
      <c r="A1114" s="48" t="s">
        <v>1056</v>
      </c>
      <c r="B1114" s="48" t="s">
        <v>205</v>
      </c>
      <c r="C1114" s="48" t="s">
        <v>1364</v>
      </c>
    </row>
    <row r="1115" customFormat="false" ht="15.75" hidden="false" customHeight="false" outlineLevel="0" collapsed="false">
      <c r="A1115" s="48" t="s">
        <v>1056</v>
      </c>
      <c r="B1115" s="48" t="s">
        <v>205</v>
      </c>
      <c r="C1115" s="48" t="s">
        <v>1365</v>
      </c>
    </row>
    <row r="1116" customFormat="false" ht="15.75" hidden="false" customHeight="false" outlineLevel="0" collapsed="false">
      <c r="A1116" s="48" t="s">
        <v>1056</v>
      </c>
      <c r="B1116" s="48" t="s">
        <v>205</v>
      </c>
      <c r="C1116" s="48" t="s">
        <v>1068</v>
      </c>
    </row>
    <row r="1117" customFormat="false" ht="15.75" hidden="false" customHeight="false" outlineLevel="0" collapsed="false">
      <c r="A1117" s="48" t="s">
        <v>1056</v>
      </c>
      <c r="B1117" s="48" t="s">
        <v>205</v>
      </c>
      <c r="C1117" s="48" t="s">
        <v>1366</v>
      </c>
    </row>
    <row r="1118" customFormat="false" ht="15.75" hidden="false" customHeight="false" outlineLevel="0" collapsed="false">
      <c r="A1118" s="48" t="s">
        <v>1056</v>
      </c>
      <c r="B1118" s="48" t="s">
        <v>205</v>
      </c>
      <c r="C1118" s="48" t="s">
        <v>1367</v>
      </c>
    </row>
    <row r="1119" customFormat="false" ht="15.75" hidden="false" customHeight="false" outlineLevel="0" collapsed="false">
      <c r="A1119" s="48" t="s">
        <v>1056</v>
      </c>
      <c r="B1119" s="48" t="s">
        <v>205</v>
      </c>
      <c r="C1119" s="48" t="s">
        <v>1368</v>
      </c>
    </row>
    <row r="1120" customFormat="false" ht="15.75" hidden="false" customHeight="false" outlineLevel="0" collapsed="false">
      <c r="A1120" s="48" t="s">
        <v>1056</v>
      </c>
      <c r="B1120" s="48" t="s">
        <v>205</v>
      </c>
      <c r="C1120" s="48" t="s">
        <v>1092</v>
      </c>
    </row>
    <row r="1121" customFormat="false" ht="15.75" hidden="false" customHeight="false" outlineLevel="0" collapsed="false">
      <c r="A1121" s="48" t="s">
        <v>1056</v>
      </c>
      <c r="B1121" s="48" t="s">
        <v>208</v>
      </c>
      <c r="C1121" s="48" t="s">
        <v>1365</v>
      </c>
    </row>
    <row r="1122" customFormat="false" ht="15.75" hidden="false" customHeight="false" outlineLevel="0" collapsed="false">
      <c r="A1122" s="48" t="s">
        <v>1056</v>
      </c>
      <c r="B1122" s="48" t="s">
        <v>208</v>
      </c>
      <c r="C1122" s="48" t="s">
        <v>1068</v>
      </c>
    </row>
    <row r="1123" customFormat="false" ht="15.75" hidden="false" customHeight="false" outlineLevel="0" collapsed="false">
      <c r="A1123" s="48" t="s">
        <v>1056</v>
      </c>
      <c r="B1123" s="48" t="s">
        <v>208</v>
      </c>
      <c r="C1123" s="48" t="s">
        <v>1369</v>
      </c>
    </row>
    <row r="1124" customFormat="false" ht="15.75" hidden="false" customHeight="false" outlineLevel="0" collapsed="false">
      <c r="A1124" s="48" t="s">
        <v>1056</v>
      </c>
      <c r="B1124" s="48" t="s">
        <v>208</v>
      </c>
      <c r="C1124" s="48" t="s">
        <v>1370</v>
      </c>
    </row>
    <row r="1125" customFormat="false" ht="15.75" hidden="false" customHeight="false" outlineLevel="0" collapsed="false">
      <c r="A1125" s="48" t="s">
        <v>1056</v>
      </c>
      <c r="B1125" s="48" t="s">
        <v>208</v>
      </c>
      <c r="C1125" s="48" t="s">
        <v>1092</v>
      </c>
    </row>
    <row r="1126" customFormat="false" ht="15.75" hidden="false" customHeight="false" outlineLevel="0" collapsed="false">
      <c r="A1126" s="48" t="s">
        <v>1056</v>
      </c>
      <c r="B1126" s="48" t="s">
        <v>138</v>
      </c>
      <c r="C1126" s="48" t="s">
        <v>1371</v>
      </c>
    </row>
    <row r="1127" customFormat="false" ht="15.75" hidden="false" customHeight="false" outlineLevel="0" collapsed="false">
      <c r="A1127" s="48" t="s">
        <v>1056</v>
      </c>
      <c r="B1127" s="48" t="s">
        <v>138</v>
      </c>
      <c r="C1127" s="48" t="s">
        <v>1372</v>
      </c>
    </row>
    <row r="1128" customFormat="false" ht="15.75" hidden="false" customHeight="false" outlineLevel="0" collapsed="false">
      <c r="A1128" s="48" t="s">
        <v>1056</v>
      </c>
      <c r="B1128" s="48" t="s">
        <v>138</v>
      </c>
      <c r="C1128" s="48" t="s">
        <v>1373</v>
      </c>
    </row>
    <row r="1129" customFormat="false" ht="15.75" hidden="false" customHeight="false" outlineLevel="0" collapsed="false">
      <c r="A1129" s="48" t="s">
        <v>1056</v>
      </c>
      <c r="B1129" s="48" t="s">
        <v>138</v>
      </c>
      <c r="C1129" s="48" t="s">
        <v>1374</v>
      </c>
    </row>
    <row r="1130" customFormat="false" ht="15.75" hidden="false" customHeight="false" outlineLevel="0" collapsed="false">
      <c r="A1130" s="48" t="s">
        <v>1056</v>
      </c>
      <c r="B1130" s="48" t="s">
        <v>138</v>
      </c>
      <c r="C1130" s="48" t="s">
        <v>1375</v>
      </c>
    </row>
    <row r="1131" customFormat="false" ht="15.75" hidden="false" customHeight="false" outlineLevel="0" collapsed="false">
      <c r="A1131" s="48" t="s">
        <v>1056</v>
      </c>
      <c r="B1131" s="48" t="s">
        <v>138</v>
      </c>
      <c r="C1131" s="48" t="s">
        <v>1376</v>
      </c>
    </row>
    <row r="1132" customFormat="false" ht="15.75" hidden="false" customHeight="false" outlineLevel="0" collapsed="false">
      <c r="A1132" s="48" t="s">
        <v>1056</v>
      </c>
      <c r="B1132" s="48" t="s">
        <v>138</v>
      </c>
      <c r="C1132" s="48" t="s">
        <v>1377</v>
      </c>
    </row>
    <row r="1133" customFormat="false" ht="15.75" hidden="false" customHeight="false" outlineLevel="0" collapsed="false">
      <c r="A1133" s="48" t="s">
        <v>1056</v>
      </c>
      <c r="B1133" s="48" t="s">
        <v>138</v>
      </c>
      <c r="C1133" s="48" t="s">
        <v>1378</v>
      </c>
    </row>
    <row r="1134" customFormat="false" ht="15.75" hidden="false" customHeight="false" outlineLevel="0" collapsed="false">
      <c r="A1134" s="48" t="s">
        <v>1056</v>
      </c>
      <c r="B1134" s="48" t="s">
        <v>213</v>
      </c>
      <c r="C1134" s="48" t="s">
        <v>1379</v>
      </c>
    </row>
    <row r="1135" customFormat="false" ht="15.75" hidden="false" customHeight="false" outlineLevel="0" collapsed="false">
      <c r="A1135" s="48" t="s">
        <v>1056</v>
      </c>
      <c r="B1135" s="48" t="s">
        <v>213</v>
      </c>
      <c r="C1135" s="48" t="s">
        <v>1380</v>
      </c>
    </row>
    <row r="1136" customFormat="false" ht="15.75" hidden="false" customHeight="false" outlineLevel="0" collapsed="false">
      <c r="A1136" s="48" t="s">
        <v>1056</v>
      </c>
      <c r="B1136" s="48" t="s">
        <v>213</v>
      </c>
      <c r="C1136" s="48" t="s">
        <v>1381</v>
      </c>
    </row>
    <row r="1137" customFormat="false" ht="15.75" hidden="false" customHeight="false" outlineLevel="0" collapsed="false">
      <c r="A1137" s="48" t="s">
        <v>1056</v>
      </c>
      <c r="B1137" s="48" t="s">
        <v>213</v>
      </c>
      <c r="C1137" s="48" t="s">
        <v>1382</v>
      </c>
    </row>
    <row r="1138" customFormat="false" ht="15.75" hidden="false" customHeight="false" outlineLevel="0" collapsed="false">
      <c r="A1138" s="48" t="s">
        <v>1056</v>
      </c>
      <c r="B1138" s="48" t="s">
        <v>213</v>
      </c>
      <c r="C1138" s="48" t="s">
        <v>1383</v>
      </c>
    </row>
    <row r="1139" customFormat="false" ht="15.75" hidden="false" customHeight="false" outlineLevel="0" collapsed="false">
      <c r="A1139" s="48" t="s">
        <v>1056</v>
      </c>
      <c r="B1139" s="48" t="s">
        <v>213</v>
      </c>
      <c r="C1139" s="48" t="s">
        <v>1384</v>
      </c>
    </row>
    <row r="1140" customFormat="false" ht="15.75" hidden="false" customHeight="false" outlineLevel="0" collapsed="false">
      <c r="A1140" s="48" t="s">
        <v>1056</v>
      </c>
      <c r="B1140" s="48" t="s">
        <v>213</v>
      </c>
      <c r="C1140" s="48" t="s">
        <v>1385</v>
      </c>
    </row>
    <row r="1141" customFormat="false" ht="15.75" hidden="false" customHeight="false" outlineLevel="0" collapsed="false">
      <c r="A1141" s="48" t="s">
        <v>1056</v>
      </c>
      <c r="B1141" s="48" t="s">
        <v>213</v>
      </c>
      <c r="C1141" s="48" t="s">
        <v>1386</v>
      </c>
    </row>
    <row r="1142" customFormat="false" ht="15.75" hidden="false" customHeight="false" outlineLevel="0" collapsed="false">
      <c r="A1142" s="48" t="s">
        <v>1056</v>
      </c>
      <c r="B1142" s="48" t="s">
        <v>213</v>
      </c>
      <c r="C1142" s="48" t="s">
        <v>1387</v>
      </c>
    </row>
    <row r="1143" customFormat="false" ht="15.75" hidden="false" customHeight="false" outlineLevel="0" collapsed="false">
      <c r="A1143" s="48" t="s">
        <v>1056</v>
      </c>
      <c r="B1143" s="48" t="s">
        <v>213</v>
      </c>
      <c r="C1143" s="48" t="s">
        <v>1388</v>
      </c>
    </row>
    <row r="1144" customFormat="false" ht="15.75" hidden="false" customHeight="false" outlineLevel="0" collapsed="false">
      <c r="A1144" s="48" t="s">
        <v>1056</v>
      </c>
      <c r="B1144" s="48" t="s">
        <v>213</v>
      </c>
      <c r="C1144" s="48" t="s">
        <v>1389</v>
      </c>
    </row>
    <row r="1145" customFormat="false" ht="15.75" hidden="false" customHeight="false" outlineLevel="0" collapsed="false">
      <c r="A1145" s="48" t="s">
        <v>1056</v>
      </c>
      <c r="B1145" s="48" t="s">
        <v>213</v>
      </c>
      <c r="C1145" s="48" t="s">
        <v>1390</v>
      </c>
    </row>
    <row r="1146" customFormat="false" ht="15.75" hidden="false" customHeight="false" outlineLevel="0" collapsed="false">
      <c r="A1146" s="48" t="s">
        <v>1056</v>
      </c>
      <c r="B1146" s="48" t="s">
        <v>213</v>
      </c>
      <c r="C1146" s="48" t="s">
        <v>1391</v>
      </c>
    </row>
    <row r="1147" customFormat="false" ht="15.75" hidden="false" customHeight="false" outlineLevel="0" collapsed="false">
      <c r="A1147" s="48" t="s">
        <v>1056</v>
      </c>
      <c r="B1147" s="48" t="s">
        <v>213</v>
      </c>
      <c r="C1147" s="48" t="s">
        <v>1392</v>
      </c>
    </row>
    <row r="1148" customFormat="false" ht="15.75" hidden="false" customHeight="false" outlineLevel="0" collapsed="false">
      <c r="A1148" s="48" t="s">
        <v>1056</v>
      </c>
      <c r="B1148" s="48" t="s">
        <v>213</v>
      </c>
      <c r="C1148" s="48" t="s">
        <v>1393</v>
      </c>
    </row>
    <row r="1149" customFormat="false" ht="15.75" hidden="false" customHeight="false" outlineLevel="0" collapsed="false">
      <c r="A1149" s="48" t="s">
        <v>1056</v>
      </c>
      <c r="B1149" s="48" t="s">
        <v>213</v>
      </c>
      <c r="C1149" s="48" t="s">
        <v>1394</v>
      </c>
    </row>
    <row r="1150" customFormat="false" ht="15.75" hidden="false" customHeight="false" outlineLevel="0" collapsed="false">
      <c r="A1150" s="48" t="s">
        <v>1056</v>
      </c>
      <c r="B1150" s="48" t="s">
        <v>213</v>
      </c>
      <c r="C1150" s="48" t="s">
        <v>1395</v>
      </c>
    </row>
    <row r="1151" customFormat="false" ht="15.75" hidden="false" customHeight="false" outlineLevel="0" collapsed="false">
      <c r="A1151" s="48" t="s">
        <v>1056</v>
      </c>
      <c r="B1151" s="48" t="s">
        <v>213</v>
      </c>
      <c r="C1151" s="48" t="s">
        <v>1396</v>
      </c>
    </row>
    <row r="1152" customFormat="false" ht="15.75" hidden="false" customHeight="false" outlineLevel="0" collapsed="false">
      <c r="A1152" s="48" t="s">
        <v>1056</v>
      </c>
      <c r="B1152" s="48" t="s">
        <v>216</v>
      </c>
      <c r="C1152" s="48" t="s">
        <v>1397</v>
      </c>
    </row>
    <row r="1153" customFormat="false" ht="15.75" hidden="false" customHeight="false" outlineLevel="0" collapsed="false">
      <c r="A1153" s="48" t="s">
        <v>1056</v>
      </c>
      <c r="B1153" s="48" t="s">
        <v>216</v>
      </c>
      <c r="C1153" s="48" t="s">
        <v>1398</v>
      </c>
    </row>
    <row r="1154" customFormat="false" ht="15.75" hidden="false" customHeight="false" outlineLevel="0" collapsed="false">
      <c r="A1154" s="48" t="s">
        <v>1056</v>
      </c>
      <c r="B1154" s="48" t="s">
        <v>216</v>
      </c>
      <c r="C1154" s="48" t="s">
        <v>1399</v>
      </c>
    </row>
    <row r="1155" customFormat="false" ht="15.75" hidden="false" customHeight="false" outlineLevel="0" collapsed="false">
      <c r="A1155" s="48" t="s">
        <v>1056</v>
      </c>
      <c r="B1155" s="48" t="s">
        <v>216</v>
      </c>
      <c r="C1155" s="48" t="s">
        <v>1400</v>
      </c>
    </row>
    <row r="1156" customFormat="false" ht="15.75" hidden="false" customHeight="false" outlineLevel="0" collapsed="false">
      <c r="A1156" s="48" t="s">
        <v>1056</v>
      </c>
      <c r="B1156" s="48" t="s">
        <v>216</v>
      </c>
      <c r="C1156" s="48" t="s">
        <v>1401</v>
      </c>
    </row>
    <row r="1157" customFormat="false" ht="15.75" hidden="false" customHeight="false" outlineLevel="0" collapsed="false">
      <c r="A1157" s="48" t="s">
        <v>1056</v>
      </c>
      <c r="B1157" s="48" t="s">
        <v>216</v>
      </c>
      <c r="C1157" s="48" t="s">
        <v>1402</v>
      </c>
    </row>
    <row r="1158" customFormat="false" ht="15.75" hidden="false" customHeight="false" outlineLevel="0" collapsed="false">
      <c r="A1158" s="48" t="s">
        <v>1056</v>
      </c>
      <c r="B1158" s="48" t="s">
        <v>216</v>
      </c>
      <c r="C1158" s="48" t="s">
        <v>1403</v>
      </c>
    </row>
    <row r="1159" customFormat="false" ht="15.75" hidden="false" customHeight="false" outlineLevel="0" collapsed="false">
      <c r="A1159" s="48" t="s">
        <v>1056</v>
      </c>
      <c r="B1159" s="48" t="s">
        <v>216</v>
      </c>
      <c r="C1159" s="48" t="s">
        <v>1404</v>
      </c>
    </row>
    <row r="1160" customFormat="false" ht="15.75" hidden="false" customHeight="false" outlineLevel="0" collapsed="false">
      <c r="A1160" s="48" t="s">
        <v>1056</v>
      </c>
      <c r="B1160" s="48" t="s">
        <v>216</v>
      </c>
      <c r="C1160" s="48" t="s">
        <v>1405</v>
      </c>
    </row>
    <row r="1161" customFormat="false" ht="15.75" hidden="false" customHeight="false" outlineLevel="0" collapsed="false">
      <c r="A1161" s="48" t="s">
        <v>1056</v>
      </c>
      <c r="B1161" s="48" t="s">
        <v>216</v>
      </c>
      <c r="C1161" s="48" t="s">
        <v>1406</v>
      </c>
    </row>
    <row r="1162" customFormat="false" ht="15.75" hidden="false" customHeight="false" outlineLevel="0" collapsed="false">
      <c r="A1162" s="48" t="s">
        <v>1056</v>
      </c>
      <c r="B1162" s="48" t="s">
        <v>216</v>
      </c>
      <c r="C1162" s="48" t="s">
        <v>1407</v>
      </c>
    </row>
    <row r="1163" customFormat="false" ht="15.75" hidden="false" customHeight="false" outlineLevel="0" collapsed="false">
      <c r="A1163" s="48" t="s">
        <v>1056</v>
      </c>
      <c r="B1163" s="48" t="s">
        <v>216</v>
      </c>
      <c r="C1163" s="48" t="s">
        <v>1408</v>
      </c>
    </row>
    <row r="1164" customFormat="false" ht="15.75" hidden="false" customHeight="false" outlineLevel="0" collapsed="false">
      <c r="A1164" s="48" t="s">
        <v>1056</v>
      </c>
      <c r="B1164" s="48" t="s">
        <v>216</v>
      </c>
      <c r="C1164" s="48" t="s">
        <v>1409</v>
      </c>
    </row>
    <row r="1165" customFormat="false" ht="15.75" hidden="false" customHeight="false" outlineLevel="0" collapsed="false">
      <c r="A1165" s="48" t="s">
        <v>1056</v>
      </c>
      <c r="B1165" s="48" t="s">
        <v>216</v>
      </c>
      <c r="C1165" s="48" t="s">
        <v>1410</v>
      </c>
    </row>
    <row r="1166" customFormat="false" ht="15.75" hidden="false" customHeight="false" outlineLevel="0" collapsed="false">
      <c r="A1166" s="48" t="s">
        <v>1056</v>
      </c>
      <c r="B1166" s="48" t="s">
        <v>216</v>
      </c>
      <c r="C1166" s="48" t="s">
        <v>1411</v>
      </c>
    </row>
    <row r="1167" customFormat="false" ht="15.75" hidden="false" customHeight="false" outlineLevel="0" collapsed="false">
      <c r="A1167" s="48" t="s">
        <v>1056</v>
      </c>
      <c r="B1167" s="48" t="s">
        <v>216</v>
      </c>
      <c r="C1167" s="48" t="s">
        <v>1412</v>
      </c>
    </row>
    <row r="1168" customFormat="false" ht="15.75" hidden="false" customHeight="false" outlineLevel="0" collapsed="false">
      <c r="A1168" s="48" t="s">
        <v>1056</v>
      </c>
      <c r="B1168" s="48" t="s">
        <v>216</v>
      </c>
      <c r="C1168" s="48" t="s">
        <v>1413</v>
      </c>
    </row>
    <row r="1169" customFormat="false" ht="15.75" hidden="false" customHeight="false" outlineLevel="0" collapsed="false">
      <c r="A1169" s="48" t="s">
        <v>1056</v>
      </c>
      <c r="B1169" s="48" t="s">
        <v>216</v>
      </c>
      <c r="C1169" s="48" t="s">
        <v>1414</v>
      </c>
    </row>
    <row r="1170" customFormat="false" ht="15.75" hidden="false" customHeight="false" outlineLevel="0" collapsed="false">
      <c r="A1170" s="48" t="s">
        <v>1056</v>
      </c>
      <c r="B1170" s="48" t="s">
        <v>216</v>
      </c>
      <c r="C1170" s="48" t="s">
        <v>1415</v>
      </c>
    </row>
    <row r="1171" customFormat="false" ht="15.75" hidden="false" customHeight="false" outlineLevel="0" collapsed="false">
      <c r="A1171" s="48" t="s">
        <v>1056</v>
      </c>
      <c r="B1171" s="48" t="s">
        <v>216</v>
      </c>
      <c r="C1171" s="48" t="s">
        <v>1416</v>
      </c>
    </row>
    <row r="1172" customFormat="false" ht="15.75" hidden="false" customHeight="false" outlineLevel="0" collapsed="false">
      <c r="A1172" s="48" t="s">
        <v>1056</v>
      </c>
      <c r="B1172" s="48" t="s">
        <v>216</v>
      </c>
      <c r="C1172" s="48" t="s">
        <v>1417</v>
      </c>
    </row>
    <row r="1173" customFormat="false" ht="15.75" hidden="false" customHeight="false" outlineLevel="0" collapsed="false">
      <c r="A1173" s="48" t="s">
        <v>1056</v>
      </c>
      <c r="B1173" s="48" t="s">
        <v>216</v>
      </c>
      <c r="C1173" s="48" t="s">
        <v>1418</v>
      </c>
    </row>
    <row r="1174" customFormat="false" ht="15.75" hidden="false" customHeight="false" outlineLevel="0" collapsed="false">
      <c r="A1174" s="48" t="s">
        <v>1056</v>
      </c>
      <c r="B1174" s="48" t="s">
        <v>216</v>
      </c>
      <c r="C1174" s="48" t="s">
        <v>1419</v>
      </c>
    </row>
    <row r="1175" customFormat="false" ht="15.75" hidden="false" customHeight="false" outlineLevel="0" collapsed="false">
      <c r="A1175" s="48" t="s">
        <v>1056</v>
      </c>
      <c r="B1175" s="48" t="s">
        <v>216</v>
      </c>
      <c r="C1175" s="48" t="s">
        <v>1420</v>
      </c>
    </row>
    <row r="1176" customFormat="false" ht="15.75" hidden="false" customHeight="false" outlineLevel="0" collapsed="false">
      <c r="A1176" s="48" t="s">
        <v>1056</v>
      </c>
      <c r="B1176" s="48" t="s">
        <v>216</v>
      </c>
      <c r="C1176" s="48" t="s">
        <v>1421</v>
      </c>
    </row>
    <row r="1177" customFormat="false" ht="15.75" hidden="false" customHeight="false" outlineLevel="0" collapsed="false">
      <c r="A1177" s="48" t="s">
        <v>1056</v>
      </c>
      <c r="B1177" s="48" t="s">
        <v>216</v>
      </c>
      <c r="C1177" s="48" t="s">
        <v>1422</v>
      </c>
    </row>
    <row r="1178" customFormat="false" ht="15.75" hidden="false" customHeight="false" outlineLevel="0" collapsed="false">
      <c r="A1178" s="48" t="s">
        <v>1056</v>
      </c>
      <c r="B1178" s="48" t="s">
        <v>216</v>
      </c>
      <c r="C1178" s="48" t="s">
        <v>1423</v>
      </c>
    </row>
    <row r="1179" customFormat="false" ht="15.75" hidden="false" customHeight="false" outlineLevel="0" collapsed="false">
      <c r="A1179" s="48" t="s">
        <v>1056</v>
      </c>
      <c r="B1179" s="48" t="s">
        <v>216</v>
      </c>
      <c r="C1179" s="48" t="s">
        <v>1424</v>
      </c>
    </row>
    <row r="1180" customFormat="false" ht="15.75" hidden="false" customHeight="false" outlineLevel="0" collapsed="false">
      <c r="A1180" s="48" t="s">
        <v>1425</v>
      </c>
      <c r="B1180" s="48" t="s">
        <v>220</v>
      </c>
      <c r="C1180" s="48" t="s">
        <v>1426</v>
      </c>
    </row>
    <row r="1181" customFormat="false" ht="15.75" hidden="false" customHeight="false" outlineLevel="0" collapsed="false">
      <c r="A1181" s="48" t="s">
        <v>1425</v>
      </c>
      <c r="B1181" s="48" t="s">
        <v>220</v>
      </c>
      <c r="C1181" s="48" t="s">
        <v>1427</v>
      </c>
    </row>
    <row r="1182" customFormat="false" ht="15.75" hidden="false" customHeight="false" outlineLevel="0" collapsed="false">
      <c r="A1182" s="48" t="s">
        <v>1425</v>
      </c>
      <c r="B1182" s="48" t="s">
        <v>220</v>
      </c>
      <c r="C1182" s="48" t="s">
        <v>1428</v>
      </c>
    </row>
    <row r="1183" customFormat="false" ht="15.75" hidden="false" customHeight="false" outlineLevel="0" collapsed="false">
      <c r="A1183" s="48" t="s">
        <v>1425</v>
      </c>
      <c r="B1183" s="48" t="s">
        <v>220</v>
      </c>
      <c r="C1183" s="48" t="s">
        <v>1429</v>
      </c>
    </row>
    <row r="1184" customFormat="false" ht="15.75" hidden="false" customHeight="false" outlineLevel="0" collapsed="false">
      <c r="A1184" s="48" t="s">
        <v>1425</v>
      </c>
      <c r="B1184" s="48" t="s">
        <v>220</v>
      </c>
      <c r="C1184" s="48" t="s">
        <v>1430</v>
      </c>
    </row>
    <row r="1185" customFormat="false" ht="15.75" hidden="false" customHeight="false" outlineLevel="0" collapsed="false">
      <c r="A1185" s="48" t="s">
        <v>1425</v>
      </c>
      <c r="B1185" s="48" t="s">
        <v>220</v>
      </c>
      <c r="C1185" s="48" t="s">
        <v>1431</v>
      </c>
    </row>
    <row r="1186" customFormat="false" ht="15.75" hidden="false" customHeight="false" outlineLevel="0" collapsed="false">
      <c r="A1186" s="48" t="s">
        <v>1425</v>
      </c>
      <c r="B1186" s="48" t="s">
        <v>220</v>
      </c>
      <c r="C1186" s="48" t="s">
        <v>1432</v>
      </c>
    </row>
    <row r="1187" customFormat="false" ht="15.75" hidden="false" customHeight="false" outlineLevel="0" collapsed="false">
      <c r="A1187" s="48" t="s">
        <v>1425</v>
      </c>
      <c r="B1187" s="48" t="s">
        <v>220</v>
      </c>
      <c r="C1187" s="48" t="s">
        <v>1433</v>
      </c>
    </row>
    <row r="1188" customFormat="false" ht="15.75" hidden="false" customHeight="false" outlineLevel="0" collapsed="false">
      <c r="A1188" s="48" t="s">
        <v>1425</v>
      </c>
      <c r="B1188" s="48" t="s">
        <v>220</v>
      </c>
      <c r="C1188" s="48" t="s">
        <v>1434</v>
      </c>
    </row>
    <row r="1189" customFormat="false" ht="15.75" hidden="false" customHeight="false" outlineLevel="0" collapsed="false">
      <c r="A1189" s="48" t="s">
        <v>1425</v>
      </c>
      <c r="B1189" s="48" t="s">
        <v>220</v>
      </c>
      <c r="C1189" s="48" t="s">
        <v>1435</v>
      </c>
    </row>
    <row r="1190" customFormat="false" ht="15.75" hidden="false" customHeight="false" outlineLevel="0" collapsed="false">
      <c r="A1190" s="48" t="s">
        <v>1425</v>
      </c>
      <c r="B1190" s="48" t="s">
        <v>220</v>
      </c>
      <c r="C1190" s="48" t="s">
        <v>1436</v>
      </c>
    </row>
    <row r="1191" customFormat="false" ht="15.75" hidden="false" customHeight="false" outlineLevel="0" collapsed="false">
      <c r="A1191" s="48" t="s">
        <v>1425</v>
      </c>
      <c r="B1191" s="48" t="s">
        <v>220</v>
      </c>
      <c r="C1191" s="48" t="s">
        <v>1437</v>
      </c>
    </row>
    <row r="1192" customFormat="false" ht="15.75" hidden="false" customHeight="false" outlineLevel="0" collapsed="false">
      <c r="A1192" s="48" t="s">
        <v>1425</v>
      </c>
      <c r="B1192" s="48" t="s">
        <v>220</v>
      </c>
      <c r="C1192" s="48" t="s">
        <v>1438</v>
      </c>
    </row>
    <row r="1193" customFormat="false" ht="15.75" hidden="false" customHeight="false" outlineLevel="0" collapsed="false">
      <c r="A1193" s="48" t="s">
        <v>1425</v>
      </c>
      <c r="B1193" s="48" t="s">
        <v>220</v>
      </c>
      <c r="C1193" s="48" t="s">
        <v>1439</v>
      </c>
    </row>
    <row r="1194" customFormat="false" ht="15.75" hidden="false" customHeight="false" outlineLevel="0" collapsed="false">
      <c r="A1194" s="48" t="s">
        <v>1425</v>
      </c>
      <c r="B1194" s="48" t="s">
        <v>220</v>
      </c>
      <c r="C1194" s="48" t="s">
        <v>1440</v>
      </c>
    </row>
    <row r="1195" customFormat="false" ht="15.75" hidden="false" customHeight="false" outlineLevel="0" collapsed="false">
      <c r="A1195" s="48" t="s">
        <v>1425</v>
      </c>
      <c r="B1195" s="48" t="s">
        <v>220</v>
      </c>
      <c r="C1195" s="48" t="s">
        <v>1441</v>
      </c>
    </row>
    <row r="1196" customFormat="false" ht="15.75" hidden="false" customHeight="false" outlineLevel="0" collapsed="false">
      <c r="A1196" s="48" t="s">
        <v>1425</v>
      </c>
      <c r="B1196" s="48" t="s">
        <v>220</v>
      </c>
      <c r="C1196" s="48" t="s">
        <v>1442</v>
      </c>
    </row>
    <row r="1197" customFormat="false" ht="15.75" hidden="false" customHeight="false" outlineLevel="0" collapsed="false">
      <c r="A1197" s="48" t="s">
        <v>1425</v>
      </c>
      <c r="B1197" s="48" t="s">
        <v>220</v>
      </c>
      <c r="C1197" s="48" t="s">
        <v>1443</v>
      </c>
    </row>
    <row r="1198" customFormat="false" ht="15.75" hidden="false" customHeight="false" outlineLevel="0" collapsed="false">
      <c r="A1198" s="48" t="s">
        <v>1425</v>
      </c>
      <c r="B1198" s="48" t="s">
        <v>220</v>
      </c>
      <c r="C1198" s="48" t="s">
        <v>1444</v>
      </c>
    </row>
    <row r="1199" customFormat="false" ht="15.75" hidden="false" customHeight="false" outlineLevel="0" collapsed="false">
      <c r="A1199" s="48" t="s">
        <v>1425</v>
      </c>
      <c r="B1199" s="48" t="s">
        <v>220</v>
      </c>
      <c r="C1199" s="48" t="s">
        <v>1445</v>
      </c>
    </row>
    <row r="1200" customFormat="false" ht="15.75" hidden="false" customHeight="false" outlineLevel="0" collapsed="false">
      <c r="A1200" s="48" t="s">
        <v>1425</v>
      </c>
      <c r="B1200" s="48" t="s">
        <v>220</v>
      </c>
      <c r="C1200" s="48" t="s">
        <v>1446</v>
      </c>
    </row>
    <row r="1201" customFormat="false" ht="15.75" hidden="false" customHeight="false" outlineLevel="0" collapsed="false">
      <c r="A1201" s="48" t="s">
        <v>1425</v>
      </c>
      <c r="B1201" s="48" t="s">
        <v>220</v>
      </c>
      <c r="C1201" s="48" t="s">
        <v>1447</v>
      </c>
    </row>
    <row r="1202" customFormat="false" ht="15.75" hidden="false" customHeight="false" outlineLevel="0" collapsed="false">
      <c r="A1202" s="48" t="s">
        <v>1425</v>
      </c>
      <c r="B1202" s="48" t="s">
        <v>220</v>
      </c>
      <c r="C1202" s="48" t="s">
        <v>1448</v>
      </c>
    </row>
    <row r="1203" customFormat="false" ht="15.75" hidden="false" customHeight="false" outlineLevel="0" collapsed="false">
      <c r="A1203" s="48" t="s">
        <v>1425</v>
      </c>
      <c r="B1203" s="48" t="s">
        <v>220</v>
      </c>
      <c r="C1203" s="48" t="s">
        <v>1449</v>
      </c>
    </row>
    <row r="1204" customFormat="false" ht="15.75" hidden="false" customHeight="false" outlineLevel="0" collapsed="false">
      <c r="A1204" s="48" t="s">
        <v>1425</v>
      </c>
      <c r="B1204" s="48" t="s">
        <v>220</v>
      </c>
      <c r="C1204" s="48" t="s">
        <v>1450</v>
      </c>
    </row>
    <row r="1205" customFormat="false" ht="15.75" hidden="false" customHeight="false" outlineLevel="0" collapsed="false">
      <c r="A1205" s="48" t="s">
        <v>1425</v>
      </c>
      <c r="B1205" s="48" t="s">
        <v>220</v>
      </c>
      <c r="C1205" s="48" t="s">
        <v>1451</v>
      </c>
    </row>
    <row r="1206" customFormat="false" ht="15.75" hidden="false" customHeight="false" outlineLevel="0" collapsed="false">
      <c r="A1206" s="48" t="s">
        <v>1425</v>
      </c>
      <c r="B1206" s="48" t="s">
        <v>220</v>
      </c>
      <c r="C1206" s="48" t="s">
        <v>1452</v>
      </c>
    </row>
    <row r="1207" customFormat="false" ht="15.75" hidden="false" customHeight="false" outlineLevel="0" collapsed="false">
      <c r="A1207" s="48" t="s">
        <v>1425</v>
      </c>
      <c r="B1207" s="48" t="s">
        <v>220</v>
      </c>
      <c r="C1207" s="48" t="s">
        <v>1453</v>
      </c>
    </row>
    <row r="1208" customFormat="false" ht="15.75" hidden="false" customHeight="false" outlineLevel="0" collapsed="false">
      <c r="A1208" s="48" t="s">
        <v>1425</v>
      </c>
      <c r="B1208" s="48" t="s">
        <v>220</v>
      </c>
      <c r="C1208" s="48" t="s">
        <v>1454</v>
      </c>
    </row>
    <row r="1209" customFormat="false" ht="15.75" hidden="false" customHeight="false" outlineLevel="0" collapsed="false">
      <c r="A1209" s="48" t="s">
        <v>1425</v>
      </c>
      <c r="B1209" s="48" t="s">
        <v>220</v>
      </c>
      <c r="C1209" s="48" t="s">
        <v>1455</v>
      </c>
    </row>
    <row r="1210" customFormat="false" ht="15.75" hidden="false" customHeight="false" outlineLevel="0" collapsed="false">
      <c r="A1210" s="48" t="s">
        <v>1425</v>
      </c>
      <c r="B1210" s="48" t="s">
        <v>220</v>
      </c>
      <c r="C1210" s="48" t="s">
        <v>1456</v>
      </c>
    </row>
    <row r="1211" customFormat="false" ht="15.75" hidden="false" customHeight="false" outlineLevel="0" collapsed="false">
      <c r="A1211" s="48" t="s">
        <v>1425</v>
      </c>
      <c r="B1211" s="48" t="s">
        <v>220</v>
      </c>
      <c r="C1211" s="48" t="s">
        <v>1457</v>
      </c>
    </row>
    <row r="1212" customFormat="false" ht="15.75" hidden="false" customHeight="false" outlineLevel="0" collapsed="false">
      <c r="A1212" s="48" t="s">
        <v>1425</v>
      </c>
      <c r="B1212" s="48" t="s">
        <v>220</v>
      </c>
      <c r="C1212" s="48" t="s">
        <v>1458</v>
      </c>
    </row>
    <row r="1213" customFormat="false" ht="15.75" hidden="false" customHeight="false" outlineLevel="0" collapsed="false">
      <c r="A1213" s="48" t="s">
        <v>1425</v>
      </c>
      <c r="B1213" s="48" t="s">
        <v>220</v>
      </c>
      <c r="C1213" s="48" t="s">
        <v>1459</v>
      </c>
    </row>
    <row r="1214" customFormat="false" ht="15.75" hidden="false" customHeight="false" outlineLevel="0" collapsed="false">
      <c r="A1214" s="48" t="s">
        <v>1425</v>
      </c>
      <c r="B1214" s="48" t="s">
        <v>220</v>
      </c>
      <c r="C1214" s="48" t="s">
        <v>1460</v>
      </c>
    </row>
    <row r="1215" customFormat="false" ht="15.75" hidden="false" customHeight="false" outlineLevel="0" collapsed="false">
      <c r="A1215" s="48" t="s">
        <v>1425</v>
      </c>
      <c r="B1215" s="48" t="s">
        <v>220</v>
      </c>
      <c r="C1215" s="48" t="s">
        <v>1461</v>
      </c>
    </row>
    <row r="1216" customFormat="false" ht="15.75" hidden="false" customHeight="false" outlineLevel="0" collapsed="false">
      <c r="A1216" s="48" t="s">
        <v>1425</v>
      </c>
      <c r="B1216" s="48" t="s">
        <v>220</v>
      </c>
      <c r="C1216" s="48" t="s">
        <v>1462</v>
      </c>
    </row>
    <row r="1217" customFormat="false" ht="15.75" hidden="false" customHeight="false" outlineLevel="0" collapsed="false">
      <c r="A1217" s="48" t="s">
        <v>1425</v>
      </c>
      <c r="B1217" s="48" t="s">
        <v>220</v>
      </c>
      <c r="C1217" s="48" t="s">
        <v>1463</v>
      </c>
    </row>
    <row r="1218" customFormat="false" ht="15.75" hidden="false" customHeight="false" outlineLevel="0" collapsed="false">
      <c r="A1218" s="48" t="s">
        <v>1425</v>
      </c>
      <c r="B1218" s="48" t="s">
        <v>220</v>
      </c>
      <c r="C1218" s="48" t="s">
        <v>1464</v>
      </c>
    </row>
    <row r="1219" customFormat="false" ht="15.75" hidden="false" customHeight="false" outlineLevel="0" collapsed="false">
      <c r="A1219" s="48" t="s">
        <v>1425</v>
      </c>
      <c r="B1219" s="48" t="s">
        <v>220</v>
      </c>
      <c r="C1219" s="48" t="s">
        <v>1465</v>
      </c>
    </row>
    <row r="1220" customFormat="false" ht="15.75" hidden="false" customHeight="false" outlineLevel="0" collapsed="false">
      <c r="A1220" s="48" t="s">
        <v>1425</v>
      </c>
      <c r="B1220" s="48" t="s">
        <v>220</v>
      </c>
      <c r="C1220" s="48" t="s">
        <v>1466</v>
      </c>
    </row>
    <row r="1221" customFormat="false" ht="15.75" hidden="false" customHeight="false" outlineLevel="0" collapsed="false">
      <c r="A1221" s="48" t="s">
        <v>1425</v>
      </c>
      <c r="B1221" s="48" t="s">
        <v>220</v>
      </c>
      <c r="C1221" s="48" t="s">
        <v>1467</v>
      </c>
    </row>
    <row r="1222" customFormat="false" ht="15.75" hidden="false" customHeight="false" outlineLevel="0" collapsed="false">
      <c r="A1222" s="48" t="s">
        <v>1425</v>
      </c>
      <c r="B1222" s="48" t="s">
        <v>220</v>
      </c>
      <c r="C1222" s="48" t="s">
        <v>1468</v>
      </c>
    </row>
    <row r="1223" customFormat="false" ht="15.75" hidden="false" customHeight="false" outlineLevel="0" collapsed="false">
      <c r="A1223" s="48" t="s">
        <v>1425</v>
      </c>
      <c r="B1223" s="48" t="s">
        <v>220</v>
      </c>
      <c r="C1223" s="48" t="s">
        <v>1059</v>
      </c>
    </row>
    <row r="1224" customFormat="false" ht="15.75" hidden="false" customHeight="false" outlineLevel="0" collapsed="false">
      <c r="A1224" s="48" t="s">
        <v>1425</v>
      </c>
      <c r="B1224" s="48" t="s">
        <v>220</v>
      </c>
      <c r="C1224" s="48" t="s">
        <v>1469</v>
      </c>
    </row>
    <row r="1225" customFormat="false" ht="15.75" hidden="false" customHeight="false" outlineLevel="0" collapsed="false">
      <c r="A1225" s="48" t="s">
        <v>1425</v>
      </c>
      <c r="B1225" s="48" t="s">
        <v>220</v>
      </c>
      <c r="C1225" s="48" t="s">
        <v>1470</v>
      </c>
    </row>
    <row r="1226" customFormat="false" ht="15.75" hidden="false" customHeight="false" outlineLevel="0" collapsed="false">
      <c r="A1226" s="48" t="s">
        <v>1425</v>
      </c>
      <c r="B1226" s="48" t="s">
        <v>220</v>
      </c>
      <c r="C1226" s="48" t="s">
        <v>1471</v>
      </c>
    </row>
    <row r="1227" customFormat="false" ht="15.75" hidden="false" customHeight="false" outlineLevel="0" collapsed="false">
      <c r="A1227" s="48" t="s">
        <v>1425</v>
      </c>
      <c r="B1227" s="48" t="s">
        <v>220</v>
      </c>
      <c r="C1227" s="48" t="s">
        <v>1472</v>
      </c>
    </row>
    <row r="1228" customFormat="false" ht="15.75" hidden="false" customHeight="false" outlineLevel="0" collapsed="false">
      <c r="A1228" s="48" t="s">
        <v>1425</v>
      </c>
      <c r="B1228" s="48" t="s">
        <v>220</v>
      </c>
      <c r="C1228" s="48" t="s">
        <v>1063</v>
      </c>
    </row>
    <row r="1229" customFormat="false" ht="15.75" hidden="false" customHeight="false" outlineLevel="0" collapsed="false">
      <c r="A1229" s="48" t="s">
        <v>1425</v>
      </c>
      <c r="B1229" s="48" t="s">
        <v>220</v>
      </c>
      <c r="C1229" s="48" t="s">
        <v>1473</v>
      </c>
    </row>
    <row r="1230" customFormat="false" ht="15.75" hidden="false" customHeight="false" outlineLevel="0" collapsed="false">
      <c r="A1230" s="48" t="s">
        <v>1425</v>
      </c>
      <c r="B1230" s="48" t="s">
        <v>220</v>
      </c>
      <c r="C1230" s="48" t="s">
        <v>1474</v>
      </c>
    </row>
    <row r="1231" customFormat="false" ht="15.75" hidden="false" customHeight="false" outlineLevel="0" collapsed="false">
      <c r="A1231" s="48" t="s">
        <v>1425</v>
      </c>
      <c r="B1231" s="48" t="s">
        <v>220</v>
      </c>
      <c r="C1231" s="48" t="s">
        <v>1475</v>
      </c>
    </row>
    <row r="1232" customFormat="false" ht="15.75" hidden="false" customHeight="false" outlineLevel="0" collapsed="false">
      <c r="A1232" s="48" t="s">
        <v>1425</v>
      </c>
      <c r="B1232" s="48" t="s">
        <v>220</v>
      </c>
      <c r="C1232" s="48" t="s">
        <v>1476</v>
      </c>
    </row>
    <row r="1233" customFormat="false" ht="15.75" hidden="false" customHeight="false" outlineLevel="0" collapsed="false">
      <c r="A1233" s="48" t="s">
        <v>1425</v>
      </c>
      <c r="B1233" s="48" t="s">
        <v>220</v>
      </c>
      <c r="C1233" s="48" t="s">
        <v>1477</v>
      </c>
    </row>
    <row r="1234" customFormat="false" ht="15.75" hidden="false" customHeight="false" outlineLevel="0" collapsed="false">
      <c r="A1234" s="48" t="s">
        <v>1425</v>
      </c>
      <c r="B1234" s="48" t="s">
        <v>220</v>
      </c>
      <c r="C1234" s="48" t="s">
        <v>1478</v>
      </c>
    </row>
    <row r="1235" customFormat="false" ht="15.75" hidden="false" customHeight="false" outlineLevel="0" collapsed="false">
      <c r="A1235" s="48" t="s">
        <v>1425</v>
      </c>
      <c r="B1235" s="48" t="s">
        <v>220</v>
      </c>
      <c r="C1235" s="48" t="s">
        <v>1479</v>
      </c>
    </row>
    <row r="1236" customFormat="false" ht="15.75" hidden="false" customHeight="false" outlineLevel="0" collapsed="false">
      <c r="A1236" s="48" t="s">
        <v>1425</v>
      </c>
      <c r="B1236" s="48" t="s">
        <v>220</v>
      </c>
      <c r="C1236" s="48" t="s">
        <v>1480</v>
      </c>
    </row>
    <row r="1237" customFormat="false" ht="15.75" hidden="false" customHeight="false" outlineLevel="0" collapsed="false">
      <c r="A1237" s="48" t="s">
        <v>1425</v>
      </c>
      <c r="B1237" s="48" t="s">
        <v>220</v>
      </c>
      <c r="C1237" s="48" t="s">
        <v>1481</v>
      </c>
    </row>
    <row r="1238" customFormat="false" ht="15.75" hidden="false" customHeight="false" outlineLevel="0" collapsed="false">
      <c r="A1238" s="48" t="s">
        <v>1425</v>
      </c>
      <c r="B1238" s="48" t="s">
        <v>220</v>
      </c>
      <c r="C1238" s="48" t="s">
        <v>1482</v>
      </c>
    </row>
    <row r="1239" customFormat="false" ht="15.75" hidden="false" customHeight="false" outlineLevel="0" collapsed="false">
      <c r="A1239" s="48" t="s">
        <v>1425</v>
      </c>
      <c r="B1239" s="48" t="s">
        <v>220</v>
      </c>
      <c r="C1239" s="48" t="s">
        <v>1483</v>
      </c>
    </row>
    <row r="1240" customFormat="false" ht="15.75" hidden="false" customHeight="false" outlineLevel="0" collapsed="false">
      <c r="A1240" s="48" t="s">
        <v>1425</v>
      </c>
      <c r="B1240" s="48" t="s">
        <v>220</v>
      </c>
      <c r="C1240" s="48" t="s">
        <v>1484</v>
      </c>
    </row>
    <row r="1241" customFormat="false" ht="15.75" hidden="false" customHeight="false" outlineLevel="0" collapsed="false">
      <c r="A1241" s="48" t="s">
        <v>1425</v>
      </c>
      <c r="B1241" s="48" t="s">
        <v>220</v>
      </c>
      <c r="C1241" s="48" t="s">
        <v>1485</v>
      </c>
    </row>
    <row r="1242" customFormat="false" ht="15.75" hidden="false" customHeight="false" outlineLevel="0" collapsed="false">
      <c r="A1242" s="48" t="s">
        <v>1425</v>
      </c>
      <c r="B1242" s="48" t="s">
        <v>220</v>
      </c>
      <c r="C1242" s="48" t="s">
        <v>1486</v>
      </c>
    </row>
    <row r="1243" customFormat="false" ht="15.75" hidden="false" customHeight="false" outlineLevel="0" collapsed="false">
      <c r="A1243" s="48" t="s">
        <v>1425</v>
      </c>
      <c r="B1243" s="48" t="s">
        <v>220</v>
      </c>
      <c r="C1243" s="48" t="s">
        <v>1487</v>
      </c>
    </row>
    <row r="1244" customFormat="false" ht="15.75" hidden="false" customHeight="false" outlineLevel="0" collapsed="false">
      <c r="A1244" s="48" t="s">
        <v>1425</v>
      </c>
      <c r="B1244" s="48" t="s">
        <v>220</v>
      </c>
      <c r="C1244" s="48" t="s">
        <v>1488</v>
      </c>
    </row>
    <row r="1245" customFormat="false" ht="15.75" hidden="false" customHeight="false" outlineLevel="0" collapsed="false">
      <c r="A1245" s="48" t="s">
        <v>1425</v>
      </c>
      <c r="B1245" s="48" t="s">
        <v>220</v>
      </c>
      <c r="C1245" s="48" t="s">
        <v>1489</v>
      </c>
    </row>
    <row r="1246" customFormat="false" ht="15.75" hidden="false" customHeight="false" outlineLevel="0" collapsed="false">
      <c r="A1246" s="48" t="s">
        <v>1425</v>
      </c>
      <c r="B1246" s="48" t="s">
        <v>220</v>
      </c>
      <c r="C1246" s="48" t="s">
        <v>1490</v>
      </c>
    </row>
    <row r="1247" customFormat="false" ht="15.75" hidden="false" customHeight="false" outlineLevel="0" collapsed="false">
      <c r="A1247" s="48" t="s">
        <v>1425</v>
      </c>
      <c r="B1247" s="48" t="s">
        <v>220</v>
      </c>
      <c r="C1247" s="48" t="s">
        <v>1491</v>
      </c>
    </row>
    <row r="1248" customFormat="false" ht="15.75" hidden="false" customHeight="false" outlineLevel="0" collapsed="false">
      <c r="A1248" s="48" t="s">
        <v>1425</v>
      </c>
      <c r="B1248" s="48" t="s">
        <v>220</v>
      </c>
      <c r="C1248" s="48" t="s">
        <v>1492</v>
      </c>
    </row>
    <row r="1249" customFormat="false" ht="15.75" hidden="false" customHeight="false" outlineLevel="0" collapsed="false">
      <c r="A1249" s="48" t="s">
        <v>1425</v>
      </c>
      <c r="B1249" s="48" t="s">
        <v>220</v>
      </c>
      <c r="C1249" s="48" t="s">
        <v>1493</v>
      </c>
    </row>
    <row r="1250" customFormat="false" ht="15.75" hidden="false" customHeight="false" outlineLevel="0" collapsed="false">
      <c r="A1250" s="48" t="s">
        <v>1425</v>
      </c>
      <c r="B1250" s="48" t="s">
        <v>220</v>
      </c>
      <c r="C1250" s="48" t="s">
        <v>1494</v>
      </c>
    </row>
    <row r="1251" customFormat="false" ht="15.75" hidden="false" customHeight="false" outlineLevel="0" collapsed="false">
      <c r="A1251" s="48" t="s">
        <v>1425</v>
      </c>
      <c r="B1251" s="48" t="s">
        <v>220</v>
      </c>
      <c r="C1251" s="48" t="s">
        <v>1495</v>
      </c>
    </row>
    <row r="1252" customFormat="false" ht="15.75" hidden="false" customHeight="false" outlineLevel="0" collapsed="false">
      <c r="A1252" s="48" t="s">
        <v>1425</v>
      </c>
      <c r="B1252" s="48" t="s">
        <v>220</v>
      </c>
      <c r="C1252" s="48" t="s">
        <v>1496</v>
      </c>
    </row>
    <row r="1253" customFormat="false" ht="15.75" hidden="false" customHeight="false" outlineLevel="0" collapsed="false">
      <c r="A1253" s="48" t="s">
        <v>1425</v>
      </c>
      <c r="B1253" s="48" t="s">
        <v>220</v>
      </c>
      <c r="C1253" s="48" t="s">
        <v>1497</v>
      </c>
    </row>
    <row r="1254" customFormat="false" ht="15.75" hidden="false" customHeight="false" outlineLevel="0" collapsed="false">
      <c r="A1254" s="48" t="s">
        <v>1425</v>
      </c>
      <c r="B1254" s="48" t="s">
        <v>220</v>
      </c>
      <c r="C1254" s="48" t="s">
        <v>1498</v>
      </c>
    </row>
    <row r="1255" customFormat="false" ht="15.75" hidden="false" customHeight="false" outlineLevel="0" collapsed="false">
      <c r="A1255" s="48" t="s">
        <v>1425</v>
      </c>
      <c r="B1255" s="48" t="s">
        <v>220</v>
      </c>
      <c r="C1255" s="48" t="s">
        <v>1499</v>
      </c>
    </row>
    <row r="1256" customFormat="false" ht="15.75" hidden="false" customHeight="false" outlineLevel="0" collapsed="false">
      <c r="A1256" s="48" t="s">
        <v>1425</v>
      </c>
      <c r="B1256" s="48" t="s">
        <v>220</v>
      </c>
      <c r="C1256" s="48" t="s">
        <v>1500</v>
      </c>
    </row>
    <row r="1257" customFormat="false" ht="15.75" hidden="false" customHeight="false" outlineLevel="0" collapsed="false">
      <c r="A1257" s="48" t="s">
        <v>1425</v>
      </c>
      <c r="B1257" s="48" t="s">
        <v>220</v>
      </c>
      <c r="C1257" s="48" t="s">
        <v>1501</v>
      </c>
    </row>
    <row r="1258" customFormat="false" ht="15.75" hidden="false" customHeight="false" outlineLevel="0" collapsed="false">
      <c r="A1258" s="48" t="s">
        <v>1502</v>
      </c>
      <c r="B1258" s="48" t="s">
        <v>225</v>
      </c>
      <c r="C1258" s="48" t="s">
        <v>1503</v>
      </c>
    </row>
    <row r="1259" customFormat="false" ht="15.75" hidden="false" customHeight="false" outlineLevel="0" collapsed="false">
      <c r="A1259" s="48" t="s">
        <v>1502</v>
      </c>
      <c r="B1259" s="48" t="s">
        <v>225</v>
      </c>
      <c r="C1259" s="48" t="s">
        <v>1504</v>
      </c>
    </row>
    <row r="1260" customFormat="false" ht="15.75" hidden="false" customHeight="false" outlineLevel="0" collapsed="false">
      <c r="A1260" s="48" t="s">
        <v>1502</v>
      </c>
      <c r="B1260" s="48" t="s">
        <v>225</v>
      </c>
      <c r="C1260" s="48" t="s">
        <v>1505</v>
      </c>
    </row>
    <row r="1261" customFormat="false" ht="15.75" hidden="false" customHeight="false" outlineLevel="0" collapsed="false">
      <c r="A1261" s="48" t="s">
        <v>1502</v>
      </c>
      <c r="B1261" s="48" t="s">
        <v>225</v>
      </c>
      <c r="C1261" s="48" t="s">
        <v>1506</v>
      </c>
    </row>
    <row r="1262" customFormat="false" ht="15.75" hidden="false" customHeight="false" outlineLevel="0" collapsed="false">
      <c r="A1262" s="48" t="s">
        <v>1502</v>
      </c>
      <c r="B1262" s="48" t="s">
        <v>225</v>
      </c>
      <c r="C1262" s="48" t="s">
        <v>1507</v>
      </c>
    </row>
    <row r="1263" customFormat="false" ht="15.75" hidden="false" customHeight="false" outlineLevel="0" collapsed="false">
      <c r="A1263" s="48" t="s">
        <v>1502</v>
      </c>
      <c r="B1263" s="48" t="s">
        <v>225</v>
      </c>
      <c r="C1263" s="48" t="s">
        <v>1508</v>
      </c>
    </row>
    <row r="1264" customFormat="false" ht="15.75" hidden="false" customHeight="false" outlineLevel="0" collapsed="false">
      <c r="A1264" s="48" t="s">
        <v>1502</v>
      </c>
      <c r="B1264" s="48" t="s">
        <v>225</v>
      </c>
      <c r="C1264" s="48" t="s">
        <v>1509</v>
      </c>
    </row>
    <row r="1265" customFormat="false" ht="15.75" hidden="false" customHeight="false" outlineLevel="0" collapsed="false">
      <c r="A1265" s="48" t="s">
        <v>1502</v>
      </c>
      <c r="B1265" s="48" t="s">
        <v>225</v>
      </c>
      <c r="C1265" s="48" t="s">
        <v>1510</v>
      </c>
    </row>
    <row r="1266" customFormat="false" ht="15.75" hidden="false" customHeight="false" outlineLevel="0" collapsed="false">
      <c r="A1266" s="48" t="s">
        <v>1502</v>
      </c>
      <c r="B1266" s="48" t="s">
        <v>225</v>
      </c>
      <c r="C1266" s="48" t="s">
        <v>1511</v>
      </c>
    </row>
    <row r="1267" customFormat="false" ht="15.75" hidden="false" customHeight="false" outlineLevel="0" collapsed="false">
      <c r="A1267" s="48" t="s">
        <v>1502</v>
      </c>
      <c r="B1267" s="48" t="s">
        <v>225</v>
      </c>
      <c r="C1267" s="48" t="s">
        <v>1512</v>
      </c>
    </row>
    <row r="1268" customFormat="false" ht="15.75" hidden="false" customHeight="false" outlineLevel="0" collapsed="false">
      <c r="A1268" s="48" t="s">
        <v>1502</v>
      </c>
      <c r="B1268" s="48" t="s">
        <v>225</v>
      </c>
      <c r="C1268" s="48" t="s">
        <v>1513</v>
      </c>
    </row>
    <row r="1269" customFormat="false" ht="15.75" hidden="false" customHeight="false" outlineLevel="0" collapsed="false">
      <c r="A1269" s="48" t="s">
        <v>1502</v>
      </c>
      <c r="B1269" s="48" t="s">
        <v>225</v>
      </c>
      <c r="C1269" s="48" t="s">
        <v>1514</v>
      </c>
    </row>
    <row r="1270" customFormat="false" ht="15.75" hidden="false" customHeight="false" outlineLevel="0" collapsed="false">
      <c r="A1270" s="48" t="s">
        <v>1502</v>
      </c>
      <c r="B1270" s="48" t="s">
        <v>225</v>
      </c>
      <c r="C1270" s="48" t="s">
        <v>1515</v>
      </c>
    </row>
    <row r="1271" customFormat="false" ht="15.75" hidden="false" customHeight="false" outlineLevel="0" collapsed="false">
      <c r="A1271" s="48" t="s">
        <v>1502</v>
      </c>
      <c r="B1271" s="48" t="s">
        <v>225</v>
      </c>
      <c r="C1271" s="48" t="s">
        <v>1516</v>
      </c>
    </row>
    <row r="1272" customFormat="false" ht="15.75" hidden="false" customHeight="false" outlineLevel="0" collapsed="false">
      <c r="A1272" s="48" t="s">
        <v>1502</v>
      </c>
      <c r="B1272" s="48" t="s">
        <v>225</v>
      </c>
      <c r="C1272" s="48" t="s">
        <v>1517</v>
      </c>
    </row>
    <row r="1273" customFormat="false" ht="15.75" hidden="false" customHeight="false" outlineLevel="0" collapsed="false">
      <c r="A1273" s="48" t="s">
        <v>1502</v>
      </c>
      <c r="B1273" s="48" t="s">
        <v>225</v>
      </c>
      <c r="C1273" s="48" t="s">
        <v>1518</v>
      </c>
    </row>
    <row r="1274" customFormat="false" ht="15.75" hidden="false" customHeight="false" outlineLevel="0" collapsed="false">
      <c r="A1274" s="48" t="s">
        <v>1502</v>
      </c>
      <c r="B1274" s="48" t="s">
        <v>225</v>
      </c>
      <c r="C1274" s="48" t="s">
        <v>1519</v>
      </c>
    </row>
    <row r="1275" customFormat="false" ht="15.75" hidden="false" customHeight="false" outlineLevel="0" collapsed="false">
      <c r="A1275" s="48" t="s">
        <v>1502</v>
      </c>
      <c r="B1275" s="48" t="s">
        <v>225</v>
      </c>
      <c r="C1275" s="48" t="s">
        <v>1520</v>
      </c>
    </row>
    <row r="1276" customFormat="false" ht="15.75" hidden="false" customHeight="false" outlineLevel="0" collapsed="false">
      <c r="A1276" s="48" t="s">
        <v>1502</v>
      </c>
      <c r="B1276" s="48" t="s">
        <v>225</v>
      </c>
      <c r="C1276" s="48" t="s">
        <v>1521</v>
      </c>
    </row>
    <row r="1277" customFormat="false" ht="15.75" hidden="false" customHeight="false" outlineLevel="0" collapsed="false">
      <c r="A1277" s="48" t="s">
        <v>1502</v>
      </c>
      <c r="B1277" s="48" t="s">
        <v>225</v>
      </c>
      <c r="C1277" s="48" t="s">
        <v>1522</v>
      </c>
    </row>
    <row r="1278" customFormat="false" ht="15.75" hidden="false" customHeight="false" outlineLevel="0" collapsed="false">
      <c r="A1278" s="48" t="s">
        <v>1502</v>
      </c>
      <c r="B1278" s="48" t="s">
        <v>225</v>
      </c>
      <c r="C1278" s="48" t="s">
        <v>1523</v>
      </c>
    </row>
    <row r="1279" customFormat="false" ht="15.75" hidden="false" customHeight="false" outlineLevel="0" collapsed="false">
      <c r="A1279" s="48" t="s">
        <v>1502</v>
      </c>
      <c r="B1279" s="48" t="s">
        <v>225</v>
      </c>
      <c r="C1279" s="48" t="s">
        <v>1524</v>
      </c>
    </row>
    <row r="1280" customFormat="false" ht="15.75" hidden="false" customHeight="false" outlineLevel="0" collapsed="false">
      <c r="A1280" s="48" t="s">
        <v>1502</v>
      </c>
      <c r="B1280" s="48" t="s">
        <v>225</v>
      </c>
      <c r="C1280" s="48" t="s">
        <v>1525</v>
      </c>
    </row>
    <row r="1281" customFormat="false" ht="15.75" hidden="false" customHeight="false" outlineLevel="0" collapsed="false">
      <c r="A1281" s="48" t="s">
        <v>1502</v>
      </c>
      <c r="B1281" s="48" t="s">
        <v>225</v>
      </c>
      <c r="C1281" s="48" t="s">
        <v>1526</v>
      </c>
    </row>
    <row r="1282" customFormat="false" ht="15.75" hidden="false" customHeight="false" outlineLevel="0" collapsed="false">
      <c r="A1282" s="48" t="s">
        <v>1502</v>
      </c>
      <c r="B1282" s="48" t="s">
        <v>225</v>
      </c>
      <c r="C1282" s="48" t="s">
        <v>1527</v>
      </c>
    </row>
    <row r="1283" customFormat="false" ht="15.75" hidden="false" customHeight="false" outlineLevel="0" collapsed="false">
      <c r="A1283" s="48" t="s">
        <v>1502</v>
      </c>
      <c r="B1283" s="48" t="s">
        <v>225</v>
      </c>
      <c r="C1283" s="48" t="s">
        <v>1528</v>
      </c>
    </row>
    <row r="1284" customFormat="false" ht="15.75" hidden="false" customHeight="false" outlineLevel="0" collapsed="false">
      <c r="A1284" s="48" t="s">
        <v>1502</v>
      </c>
      <c r="B1284" s="48" t="s">
        <v>225</v>
      </c>
      <c r="C1284" s="48" t="s">
        <v>1529</v>
      </c>
    </row>
    <row r="1285" customFormat="false" ht="15.75" hidden="false" customHeight="false" outlineLevel="0" collapsed="false">
      <c r="A1285" s="48" t="s">
        <v>1502</v>
      </c>
      <c r="B1285" s="48" t="s">
        <v>225</v>
      </c>
      <c r="C1285" s="48" t="s">
        <v>1530</v>
      </c>
    </row>
    <row r="1286" customFormat="false" ht="15.75" hidden="false" customHeight="false" outlineLevel="0" collapsed="false">
      <c r="A1286" s="48" t="s">
        <v>1502</v>
      </c>
      <c r="B1286" s="48" t="s">
        <v>225</v>
      </c>
      <c r="C1286" s="48" t="s">
        <v>1531</v>
      </c>
    </row>
    <row r="1287" customFormat="false" ht="15.75" hidden="false" customHeight="false" outlineLevel="0" collapsed="false">
      <c r="A1287" s="48" t="s">
        <v>1502</v>
      </c>
      <c r="B1287" s="48" t="s">
        <v>225</v>
      </c>
      <c r="C1287" s="48" t="s">
        <v>1532</v>
      </c>
    </row>
    <row r="1288" customFormat="false" ht="15.75" hidden="false" customHeight="false" outlineLevel="0" collapsed="false">
      <c r="A1288" s="48" t="s">
        <v>1502</v>
      </c>
      <c r="B1288" s="48" t="s">
        <v>225</v>
      </c>
      <c r="C1288" s="48" t="s">
        <v>1533</v>
      </c>
    </row>
    <row r="1289" customFormat="false" ht="15.75" hidden="false" customHeight="false" outlineLevel="0" collapsed="false">
      <c r="A1289" s="48" t="s">
        <v>1502</v>
      </c>
      <c r="B1289" s="48" t="s">
        <v>225</v>
      </c>
      <c r="C1289" s="48" t="s">
        <v>1534</v>
      </c>
    </row>
    <row r="1290" customFormat="false" ht="15.75" hidden="false" customHeight="false" outlineLevel="0" collapsed="false">
      <c r="A1290" s="48" t="s">
        <v>1502</v>
      </c>
      <c r="B1290" s="48" t="s">
        <v>225</v>
      </c>
      <c r="C1290" s="48" t="s">
        <v>1226</v>
      </c>
    </row>
    <row r="1291" customFormat="false" ht="15.75" hidden="false" customHeight="false" outlineLevel="0" collapsed="false">
      <c r="A1291" s="48" t="s">
        <v>1502</v>
      </c>
      <c r="B1291" s="48" t="s">
        <v>225</v>
      </c>
      <c r="C1291" s="48" t="s">
        <v>1535</v>
      </c>
    </row>
    <row r="1292" customFormat="false" ht="15.75" hidden="false" customHeight="false" outlineLevel="0" collapsed="false">
      <c r="A1292" s="48" t="s">
        <v>1502</v>
      </c>
      <c r="B1292" s="48" t="s">
        <v>225</v>
      </c>
      <c r="C1292" s="48" t="s">
        <v>1536</v>
      </c>
    </row>
    <row r="1293" customFormat="false" ht="15.75" hidden="false" customHeight="false" outlineLevel="0" collapsed="false">
      <c r="A1293" s="48" t="s">
        <v>1502</v>
      </c>
      <c r="B1293" s="48" t="s">
        <v>225</v>
      </c>
      <c r="C1293" s="48" t="s">
        <v>1537</v>
      </c>
    </row>
    <row r="1294" customFormat="false" ht="15.75" hidden="false" customHeight="false" outlineLevel="0" collapsed="false">
      <c r="A1294" s="48" t="s">
        <v>1502</v>
      </c>
      <c r="B1294" s="48" t="s">
        <v>225</v>
      </c>
      <c r="C1294" s="48" t="s">
        <v>1538</v>
      </c>
    </row>
    <row r="1295" customFormat="false" ht="15.75" hidden="false" customHeight="false" outlineLevel="0" collapsed="false">
      <c r="A1295" s="48" t="s">
        <v>1502</v>
      </c>
      <c r="B1295" s="48" t="s">
        <v>225</v>
      </c>
      <c r="C1295" s="48" t="s">
        <v>1539</v>
      </c>
    </row>
    <row r="1296" customFormat="false" ht="15.75" hidden="false" customHeight="false" outlineLevel="0" collapsed="false">
      <c r="A1296" s="48" t="s">
        <v>1540</v>
      </c>
      <c r="B1296" s="48" t="s">
        <v>230</v>
      </c>
      <c r="C1296" s="48" t="s">
        <v>1152</v>
      </c>
    </row>
    <row r="1297" customFormat="false" ht="15.75" hidden="false" customHeight="false" outlineLevel="0" collapsed="false">
      <c r="A1297" s="48" t="s">
        <v>1540</v>
      </c>
      <c r="B1297" s="48" t="s">
        <v>230</v>
      </c>
      <c r="C1297" s="48" t="s">
        <v>1541</v>
      </c>
    </row>
    <row r="1298" customFormat="false" ht="15.75" hidden="false" customHeight="false" outlineLevel="0" collapsed="false">
      <c r="A1298" s="48" t="s">
        <v>1540</v>
      </c>
      <c r="B1298" s="48" t="s">
        <v>230</v>
      </c>
      <c r="C1298" s="48" t="s">
        <v>1542</v>
      </c>
    </row>
    <row r="1299" customFormat="false" ht="15.75" hidden="false" customHeight="false" outlineLevel="0" collapsed="false">
      <c r="A1299" s="48" t="s">
        <v>1540</v>
      </c>
      <c r="B1299" s="48" t="s">
        <v>230</v>
      </c>
      <c r="C1299" s="48" t="s">
        <v>1543</v>
      </c>
    </row>
    <row r="1300" customFormat="false" ht="15.75" hidden="false" customHeight="false" outlineLevel="0" collapsed="false">
      <c r="A1300" s="48" t="s">
        <v>1540</v>
      </c>
      <c r="B1300" s="48" t="s">
        <v>230</v>
      </c>
      <c r="C1300" s="48" t="s">
        <v>1544</v>
      </c>
    </row>
    <row r="1301" customFormat="false" ht="15.75" hidden="false" customHeight="false" outlineLevel="0" collapsed="false">
      <c r="A1301" s="48" t="s">
        <v>1540</v>
      </c>
      <c r="B1301" s="48" t="s">
        <v>230</v>
      </c>
      <c r="C1301" s="48" t="s">
        <v>1270</v>
      </c>
    </row>
    <row r="1302" customFormat="false" ht="15.75" hidden="false" customHeight="false" outlineLevel="0" collapsed="false">
      <c r="A1302" s="48" t="s">
        <v>1540</v>
      </c>
      <c r="B1302" s="48" t="s">
        <v>230</v>
      </c>
      <c r="C1302" s="48" t="s">
        <v>1545</v>
      </c>
    </row>
    <row r="1303" customFormat="false" ht="15.75" hidden="false" customHeight="false" outlineLevel="0" collapsed="false">
      <c r="A1303" s="48" t="s">
        <v>1540</v>
      </c>
      <c r="B1303" s="48" t="s">
        <v>230</v>
      </c>
      <c r="C1303" s="48" t="s">
        <v>1546</v>
      </c>
    </row>
    <row r="1304" customFormat="false" ht="15.75" hidden="false" customHeight="false" outlineLevel="0" collapsed="false">
      <c r="A1304" s="48" t="s">
        <v>1540</v>
      </c>
      <c r="B1304" s="48" t="s">
        <v>230</v>
      </c>
      <c r="C1304" s="48" t="s">
        <v>1547</v>
      </c>
    </row>
    <row r="1305" customFormat="false" ht="15.75" hidden="false" customHeight="false" outlineLevel="0" collapsed="false">
      <c r="A1305" s="48" t="s">
        <v>1540</v>
      </c>
      <c r="B1305" s="48" t="s">
        <v>230</v>
      </c>
      <c r="C1305" s="48" t="s">
        <v>1548</v>
      </c>
    </row>
    <row r="1306" customFormat="false" ht="15.75" hidden="false" customHeight="false" outlineLevel="0" collapsed="false">
      <c r="A1306" s="48" t="s">
        <v>1540</v>
      </c>
      <c r="B1306" s="48" t="s">
        <v>230</v>
      </c>
      <c r="C1306" s="48" t="s">
        <v>1549</v>
      </c>
    </row>
    <row r="1307" customFormat="false" ht="15.75" hidden="false" customHeight="false" outlineLevel="0" collapsed="false">
      <c r="A1307" s="48" t="s">
        <v>1540</v>
      </c>
      <c r="B1307" s="48" t="s">
        <v>230</v>
      </c>
      <c r="C1307" s="48" t="s">
        <v>1550</v>
      </c>
    </row>
    <row r="1308" customFormat="false" ht="15.75" hidden="false" customHeight="false" outlineLevel="0" collapsed="false">
      <c r="A1308" s="48" t="s">
        <v>1540</v>
      </c>
      <c r="B1308" s="48" t="s">
        <v>230</v>
      </c>
      <c r="C1308" s="48" t="s">
        <v>1551</v>
      </c>
    </row>
    <row r="1309" customFormat="false" ht="15.75" hidden="false" customHeight="false" outlineLevel="0" collapsed="false">
      <c r="A1309" s="48" t="s">
        <v>1540</v>
      </c>
      <c r="B1309" s="48" t="s">
        <v>230</v>
      </c>
      <c r="C1309" s="48" t="s">
        <v>786</v>
      </c>
    </row>
    <row r="1310" customFormat="false" ht="15.75" hidden="false" customHeight="false" outlineLevel="0" collapsed="false">
      <c r="A1310" s="48" t="s">
        <v>1540</v>
      </c>
      <c r="B1310" s="48" t="s">
        <v>230</v>
      </c>
      <c r="C1310" s="48" t="s">
        <v>1552</v>
      </c>
    </row>
    <row r="1311" customFormat="false" ht="15.75" hidden="false" customHeight="false" outlineLevel="0" collapsed="false">
      <c r="A1311" s="48" t="s">
        <v>1540</v>
      </c>
      <c r="B1311" s="48" t="s">
        <v>230</v>
      </c>
      <c r="C1311" s="48" t="s">
        <v>1553</v>
      </c>
    </row>
    <row r="1312" customFormat="false" ht="15.75" hidden="false" customHeight="false" outlineLevel="0" collapsed="false">
      <c r="A1312" s="48" t="s">
        <v>1540</v>
      </c>
      <c r="B1312" s="48" t="s">
        <v>230</v>
      </c>
      <c r="C1312" s="48" t="s">
        <v>1554</v>
      </c>
    </row>
    <row r="1313" customFormat="false" ht="15.75" hidden="false" customHeight="false" outlineLevel="0" collapsed="false">
      <c r="A1313" s="48" t="s">
        <v>1540</v>
      </c>
      <c r="B1313" s="48" t="s">
        <v>230</v>
      </c>
      <c r="C1313" s="48" t="s">
        <v>1061</v>
      </c>
    </row>
    <row r="1314" customFormat="false" ht="15.75" hidden="false" customHeight="false" outlineLevel="0" collapsed="false">
      <c r="A1314" s="48" t="s">
        <v>1540</v>
      </c>
      <c r="B1314" s="48" t="s">
        <v>230</v>
      </c>
      <c r="C1314" s="48" t="s">
        <v>1555</v>
      </c>
    </row>
    <row r="1315" customFormat="false" ht="15.75" hidden="false" customHeight="false" outlineLevel="0" collapsed="false">
      <c r="A1315" s="48" t="s">
        <v>1540</v>
      </c>
      <c r="B1315" s="48" t="s">
        <v>230</v>
      </c>
      <c r="C1315" s="48" t="s">
        <v>1556</v>
      </c>
    </row>
    <row r="1316" customFormat="false" ht="15.75" hidden="false" customHeight="false" outlineLevel="0" collapsed="false">
      <c r="A1316" s="48" t="s">
        <v>1540</v>
      </c>
      <c r="B1316" s="48" t="s">
        <v>230</v>
      </c>
      <c r="C1316" s="48" t="s">
        <v>1557</v>
      </c>
    </row>
    <row r="1317" customFormat="false" ht="15.75" hidden="false" customHeight="false" outlineLevel="0" collapsed="false">
      <c r="A1317" s="48" t="s">
        <v>1540</v>
      </c>
      <c r="B1317" s="48" t="s">
        <v>230</v>
      </c>
      <c r="C1317" s="48" t="s">
        <v>1558</v>
      </c>
    </row>
    <row r="1318" customFormat="false" ht="15.75" hidden="false" customHeight="false" outlineLevel="0" collapsed="false">
      <c r="A1318" s="48" t="s">
        <v>1540</v>
      </c>
      <c r="B1318" s="48" t="s">
        <v>230</v>
      </c>
      <c r="C1318" s="48" t="s">
        <v>1559</v>
      </c>
    </row>
    <row r="1319" customFormat="false" ht="15.75" hidden="false" customHeight="false" outlineLevel="0" collapsed="false">
      <c r="A1319" s="48" t="s">
        <v>1540</v>
      </c>
      <c r="B1319" s="48" t="s">
        <v>230</v>
      </c>
      <c r="C1319" s="48" t="s">
        <v>1560</v>
      </c>
    </row>
    <row r="1320" customFormat="false" ht="15.75" hidden="false" customHeight="false" outlineLevel="0" collapsed="false">
      <c r="A1320" s="48" t="s">
        <v>1540</v>
      </c>
      <c r="B1320" s="48" t="s">
        <v>230</v>
      </c>
      <c r="C1320" s="48" t="s">
        <v>1561</v>
      </c>
    </row>
    <row r="1321" customFormat="false" ht="15.75" hidden="false" customHeight="false" outlineLevel="0" collapsed="false">
      <c r="A1321" s="48" t="s">
        <v>1540</v>
      </c>
      <c r="B1321" s="48" t="s">
        <v>230</v>
      </c>
      <c r="C1321" s="48" t="s">
        <v>1562</v>
      </c>
    </row>
    <row r="1322" customFormat="false" ht="15.75" hidden="false" customHeight="false" outlineLevel="0" collapsed="false">
      <c r="A1322" s="48" t="s">
        <v>1540</v>
      </c>
      <c r="B1322" s="48" t="s">
        <v>230</v>
      </c>
      <c r="C1322" s="48" t="s">
        <v>1563</v>
      </c>
    </row>
    <row r="1323" customFormat="false" ht="15.75" hidden="false" customHeight="false" outlineLevel="0" collapsed="false">
      <c r="A1323" s="48" t="s">
        <v>1540</v>
      </c>
      <c r="B1323" s="48" t="s">
        <v>230</v>
      </c>
      <c r="C1323" s="48" t="s">
        <v>1564</v>
      </c>
    </row>
    <row r="1324" customFormat="false" ht="15.75" hidden="false" customHeight="false" outlineLevel="0" collapsed="false">
      <c r="A1324" s="48" t="s">
        <v>1540</v>
      </c>
      <c r="B1324" s="48" t="s">
        <v>230</v>
      </c>
      <c r="C1324" s="48" t="s">
        <v>1565</v>
      </c>
    </row>
    <row r="1325" customFormat="false" ht="15.75" hidden="false" customHeight="false" outlineLevel="0" collapsed="false">
      <c r="A1325" s="48" t="s">
        <v>1540</v>
      </c>
      <c r="B1325" s="48" t="s">
        <v>230</v>
      </c>
      <c r="C1325" s="48" t="s">
        <v>1566</v>
      </c>
    </row>
    <row r="1326" customFormat="false" ht="15.75" hidden="false" customHeight="false" outlineLevel="0" collapsed="false">
      <c r="A1326" s="48" t="s">
        <v>1540</v>
      </c>
      <c r="B1326" s="48" t="s">
        <v>230</v>
      </c>
      <c r="C1326" s="48" t="s">
        <v>1567</v>
      </c>
    </row>
    <row r="1327" customFormat="false" ht="15.75" hidden="false" customHeight="false" outlineLevel="0" collapsed="false">
      <c r="A1327" s="48" t="s">
        <v>1540</v>
      </c>
      <c r="B1327" s="48" t="s">
        <v>230</v>
      </c>
      <c r="C1327" s="48" t="s">
        <v>1568</v>
      </c>
    </row>
    <row r="1328" customFormat="false" ht="15.75" hidden="false" customHeight="false" outlineLevel="0" collapsed="false">
      <c r="A1328" s="48" t="s">
        <v>1540</v>
      </c>
      <c r="B1328" s="48" t="s">
        <v>230</v>
      </c>
      <c r="C1328" s="48" t="s">
        <v>1569</v>
      </c>
    </row>
    <row r="1329" customFormat="false" ht="15.75" hidden="false" customHeight="false" outlineLevel="0" collapsed="false">
      <c r="A1329" s="48" t="s">
        <v>1540</v>
      </c>
      <c r="B1329" s="48" t="s">
        <v>230</v>
      </c>
      <c r="C1329" s="48" t="s">
        <v>1570</v>
      </c>
    </row>
    <row r="1330" customFormat="false" ht="15.75" hidden="false" customHeight="false" outlineLevel="0" collapsed="false">
      <c r="A1330" s="48" t="s">
        <v>1571</v>
      </c>
      <c r="B1330" s="48" t="s">
        <v>239</v>
      </c>
      <c r="C1330" s="48" t="s">
        <v>1572</v>
      </c>
    </row>
    <row r="1331" customFormat="false" ht="15.75" hidden="false" customHeight="false" outlineLevel="0" collapsed="false">
      <c r="A1331" s="48" t="s">
        <v>1571</v>
      </c>
      <c r="B1331" s="48" t="s">
        <v>239</v>
      </c>
      <c r="C1331" s="48" t="s">
        <v>1573</v>
      </c>
    </row>
    <row r="1332" customFormat="false" ht="15.75" hidden="false" customHeight="false" outlineLevel="0" collapsed="false">
      <c r="A1332" s="48" t="s">
        <v>1571</v>
      </c>
      <c r="B1332" s="48" t="s">
        <v>239</v>
      </c>
      <c r="C1332" s="48" t="s">
        <v>959</v>
      </c>
    </row>
    <row r="1333" customFormat="false" ht="15.75" hidden="false" customHeight="false" outlineLevel="0" collapsed="false">
      <c r="A1333" s="48" t="s">
        <v>1571</v>
      </c>
      <c r="B1333" s="48" t="s">
        <v>239</v>
      </c>
      <c r="C1333" s="48" t="s">
        <v>674</v>
      </c>
    </row>
    <row r="1334" customFormat="false" ht="15.75" hidden="false" customHeight="false" outlineLevel="0" collapsed="false">
      <c r="A1334" s="48" t="s">
        <v>1571</v>
      </c>
      <c r="B1334" s="48" t="s">
        <v>239</v>
      </c>
      <c r="C1334" s="48" t="s">
        <v>1574</v>
      </c>
    </row>
    <row r="1335" customFormat="false" ht="15.75" hidden="false" customHeight="false" outlineLevel="0" collapsed="false">
      <c r="A1335" s="48" t="s">
        <v>1571</v>
      </c>
      <c r="B1335" s="48" t="s">
        <v>239</v>
      </c>
      <c r="C1335" s="48" t="s">
        <v>1575</v>
      </c>
    </row>
    <row r="1336" customFormat="false" ht="15.75" hidden="false" customHeight="false" outlineLevel="0" collapsed="false">
      <c r="A1336" s="48" t="s">
        <v>1571</v>
      </c>
      <c r="B1336" s="48" t="s">
        <v>239</v>
      </c>
      <c r="C1336" s="48" t="s">
        <v>1576</v>
      </c>
    </row>
    <row r="1337" customFormat="false" ht="15.75" hidden="false" customHeight="false" outlineLevel="0" collapsed="false">
      <c r="A1337" s="48" t="s">
        <v>1571</v>
      </c>
      <c r="B1337" s="48" t="s">
        <v>239</v>
      </c>
      <c r="C1337" s="48" t="s">
        <v>660</v>
      </c>
    </row>
    <row r="1338" customFormat="false" ht="15.75" hidden="false" customHeight="false" outlineLevel="0" collapsed="false">
      <c r="A1338" s="48" t="s">
        <v>1571</v>
      </c>
      <c r="B1338" s="48" t="s">
        <v>239</v>
      </c>
      <c r="C1338" s="48" t="s">
        <v>1577</v>
      </c>
    </row>
    <row r="1339" customFormat="false" ht="15.75" hidden="false" customHeight="false" outlineLevel="0" collapsed="false">
      <c r="A1339" s="48" t="s">
        <v>1571</v>
      </c>
      <c r="B1339" s="48" t="s">
        <v>239</v>
      </c>
      <c r="C1339" s="48" t="s">
        <v>1578</v>
      </c>
    </row>
    <row r="1340" customFormat="false" ht="15.75" hidden="false" customHeight="false" outlineLevel="0" collapsed="false">
      <c r="A1340" s="48" t="s">
        <v>1571</v>
      </c>
      <c r="B1340" s="48" t="s">
        <v>239</v>
      </c>
      <c r="C1340" s="48" t="s">
        <v>1579</v>
      </c>
    </row>
    <row r="1341" customFormat="false" ht="15.75" hidden="false" customHeight="false" outlineLevel="0" collapsed="false">
      <c r="A1341" s="48" t="s">
        <v>1571</v>
      </c>
      <c r="B1341" s="48" t="s">
        <v>239</v>
      </c>
      <c r="C1341" s="48" t="s">
        <v>1580</v>
      </c>
    </row>
    <row r="1342" customFormat="false" ht="15.75" hidden="false" customHeight="false" outlineLevel="0" collapsed="false">
      <c r="A1342" s="48" t="s">
        <v>1571</v>
      </c>
      <c r="B1342" s="48" t="s">
        <v>239</v>
      </c>
      <c r="C1342" s="48" t="s">
        <v>1581</v>
      </c>
    </row>
    <row r="1343" customFormat="false" ht="15.75" hidden="false" customHeight="false" outlineLevel="0" collapsed="false">
      <c r="A1343" s="48" t="s">
        <v>1571</v>
      </c>
      <c r="B1343" s="48" t="s">
        <v>239</v>
      </c>
      <c r="C1343" s="48" t="s">
        <v>1582</v>
      </c>
    </row>
    <row r="1344" customFormat="false" ht="15.75" hidden="false" customHeight="false" outlineLevel="0" collapsed="false">
      <c r="A1344" s="48" t="s">
        <v>1571</v>
      </c>
      <c r="B1344" s="48" t="s">
        <v>239</v>
      </c>
      <c r="C1344" s="48" t="s">
        <v>958</v>
      </c>
    </row>
    <row r="1345" customFormat="false" ht="15.75" hidden="false" customHeight="false" outlineLevel="0" collapsed="false">
      <c r="A1345" s="48" t="s">
        <v>1571</v>
      </c>
      <c r="B1345" s="48" t="s">
        <v>239</v>
      </c>
      <c r="C1345" s="48" t="s">
        <v>1583</v>
      </c>
    </row>
    <row r="1346" customFormat="false" ht="15.75" hidden="false" customHeight="false" outlineLevel="0" collapsed="false">
      <c r="A1346" s="48" t="s">
        <v>1571</v>
      </c>
      <c r="B1346" s="48" t="s">
        <v>239</v>
      </c>
      <c r="C1346" s="48" t="s">
        <v>1584</v>
      </c>
    </row>
    <row r="1347" customFormat="false" ht="15.75" hidden="false" customHeight="false" outlineLevel="0" collapsed="false">
      <c r="A1347" s="48" t="s">
        <v>1571</v>
      </c>
      <c r="B1347" s="48" t="s">
        <v>239</v>
      </c>
      <c r="C1347" s="48" t="s">
        <v>1585</v>
      </c>
    </row>
    <row r="1348" customFormat="false" ht="15.75" hidden="false" customHeight="false" outlineLevel="0" collapsed="false">
      <c r="A1348" s="48" t="s">
        <v>1571</v>
      </c>
      <c r="B1348" s="48" t="s">
        <v>239</v>
      </c>
      <c r="C1348" s="48" t="s">
        <v>1586</v>
      </c>
    </row>
    <row r="1349" customFormat="false" ht="15.75" hidden="false" customHeight="false" outlineLevel="0" collapsed="false">
      <c r="A1349" s="48" t="s">
        <v>1571</v>
      </c>
      <c r="B1349" s="48" t="s">
        <v>239</v>
      </c>
      <c r="C1349" s="48" t="s">
        <v>1587</v>
      </c>
    </row>
    <row r="1350" customFormat="false" ht="15.75" hidden="false" customHeight="false" outlineLevel="0" collapsed="false">
      <c r="A1350" s="48" t="s">
        <v>1571</v>
      </c>
      <c r="B1350" s="48" t="s">
        <v>239</v>
      </c>
      <c r="C1350" s="48" t="s">
        <v>1588</v>
      </c>
    </row>
    <row r="1351" customFormat="false" ht="15.75" hidden="false" customHeight="false" outlineLevel="0" collapsed="false">
      <c r="A1351" s="48" t="s">
        <v>1571</v>
      </c>
      <c r="B1351" s="48" t="s">
        <v>239</v>
      </c>
      <c r="C1351" s="48" t="s">
        <v>1589</v>
      </c>
    </row>
    <row r="1352" customFormat="false" ht="15.75" hidden="false" customHeight="false" outlineLevel="0" collapsed="false">
      <c r="A1352" s="48" t="s">
        <v>1571</v>
      </c>
      <c r="B1352" s="48" t="s">
        <v>239</v>
      </c>
      <c r="C1352" s="48" t="s">
        <v>1590</v>
      </c>
    </row>
    <row r="1353" customFormat="false" ht="15.75" hidden="false" customHeight="false" outlineLevel="0" collapsed="false">
      <c r="A1353" s="48" t="s">
        <v>1571</v>
      </c>
      <c r="B1353" s="48" t="s">
        <v>239</v>
      </c>
      <c r="C1353" s="48" t="s">
        <v>1591</v>
      </c>
    </row>
    <row r="1354" customFormat="false" ht="15.75" hidden="false" customHeight="false" outlineLevel="0" collapsed="false">
      <c r="A1354" s="48" t="s">
        <v>1571</v>
      </c>
      <c r="B1354" s="48" t="s">
        <v>239</v>
      </c>
      <c r="C1354" s="48" t="s">
        <v>1592</v>
      </c>
    </row>
    <row r="1355" customFormat="false" ht="15.75" hidden="false" customHeight="false" outlineLevel="0" collapsed="false">
      <c r="A1355" s="48" t="s">
        <v>1571</v>
      </c>
      <c r="B1355" s="48" t="s">
        <v>239</v>
      </c>
      <c r="C1355" s="48" t="s">
        <v>1593</v>
      </c>
    </row>
    <row r="1356" customFormat="false" ht="15.75" hidden="false" customHeight="false" outlineLevel="0" collapsed="false">
      <c r="A1356" s="48" t="s">
        <v>1594</v>
      </c>
      <c r="B1356" s="48" t="s">
        <v>277</v>
      </c>
      <c r="C1356" s="48" t="s">
        <v>1595</v>
      </c>
    </row>
    <row r="1357" customFormat="false" ht="15.75" hidden="false" customHeight="false" outlineLevel="0" collapsed="false">
      <c r="A1357" s="48" t="s">
        <v>1594</v>
      </c>
      <c r="B1357" s="48" t="s">
        <v>277</v>
      </c>
      <c r="C1357" s="48" t="s">
        <v>1596</v>
      </c>
    </row>
    <row r="1358" customFormat="false" ht="15.75" hidden="false" customHeight="false" outlineLevel="0" collapsed="false">
      <c r="A1358" s="48" t="s">
        <v>1594</v>
      </c>
      <c r="B1358" s="48" t="s">
        <v>277</v>
      </c>
      <c r="C1358" s="48" t="s">
        <v>1597</v>
      </c>
    </row>
    <row r="1359" customFormat="false" ht="15.75" hidden="false" customHeight="false" outlineLevel="0" collapsed="false">
      <c r="A1359" s="48" t="s">
        <v>1594</v>
      </c>
      <c r="B1359" s="48" t="s">
        <v>277</v>
      </c>
      <c r="C1359" s="48" t="s">
        <v>1598</v>
      </c>
    </row>
    <row r="1360" customFormat="false" ht="15.75" hidden="false" customHeight="false" outlineLevel="0" collapsed="false">
      <c r="A1360" s="48" t="s">
        <v>1594</v>
      </c>
      <c r="B1360" s="48" t="s">
        <v>277</v>
      </c>
      <c r="C1360" s="48" t="s">
        <v>1599</v>
      </c>
    </row>
    <row r="1361" customFormat="false" ht="15.75" hidden="false" customHeight="false" outlineLevel="0" collapsed="false">
      <c r="A1361" s="48" t="s">
        <v>1594</v>
      </c>
      <c r="B1361" s="48" t="s">
        <v>277</v>
      </c>
      <c r="C1361" s="48" t="s">
        <v>1600</v>
      </c>
    </row>
    <row r="1362" customFormat="false" ht="15.75" hidden="false" customHeight="false" outlineLevel="0" collapsed="false">
      <c r="A1362" s="48" t="s">
        <v>1594</v>
      </c>
      <c r="B1362" s="48" t="s">
        <v>277</v>
      </c>
      <c r="C1362" s="48" t="s">
        <v>1601</v>
      </c>
    </row>
    <row r="1363" customFormat="false" ht="15.75" hidden="false" customHeight="false" outlineLevel="0" collapsed="false">
      <c r="A1363" s="48" t="s">
        <v>1594</v>
      </c>
      <c r="B1363" s="48" t="s">
        <v>277</v>
      </c>
      <c r="C1363" s="48" t="s">
        <v>1602</v>
      </c>
    </row>
    <row r="1364" customFormat="false" ht="15.75" hidden="false" customHeight="false" outlineLevel="0" collapsed="false">
      <c r="A1364" s="48" t="s">
        <v>1594</v>
      </c>
      <c r="B1364" s="48" t="s">
        <v>277</v>
      </c>
      <c r="C1364" s="48" t="s">
        <v>1603</v>
      </c>
    </row>
    <row r="1365" customFormat="false" ht="15.75" hidden="false" customHeight="false" outlineLevel="0" collapsed="false">
      <c r="A1365" s="48" t="s">
        <v>1594</v>
      </c>
      <c r="B1365" s="48" t="s">
        <v>277</v>
      </c>
      <c r="C1365" s="48" t="s">
        <v>1604</v>
      </c>
    </row>
    <row r="1366" customFormat="false" ht="15.75" hidden="false" customHeight="false" outlineLevel="0" collapsed="false">
      <c r="A1366" s="48" t="s">
        <v>1594</v>
      </c>
      <c r="B1366" s="48" t="s">
        <v>277</v>
      </c>
      <c r="C1366" s="48" t="s">
        <v>1605</v>
      </c>
    </row>
    <row r="1367" customFormat="false" ht="15.75" hidden="false" customHeight="false" outlineLevel="0" collapsed="false">
      <c r="A1367" s="48" t="s">
        <v>1594</v>
      </c>
      <c r="B1367" s="48" t="s">
        <v>277</v>
      </c>
      <c r="C1367" s="48" t="s">
        <v>1606</v>
      </c>
    </row>
    <row r="1368" customFormat="false" ht="15.75" hidden="false" customHeight="false" outlineLevel="0" collapsed="false">
      <c r="A1368" s="48" t="s">
        <v>1594</v>
      </c>
      <c r="B1368" s="48" t="s">
        <v>277</v>
      </c>
      <c r="C1368" s="48" t="s">
        <v>1607</v>
      </c>
    </row>
    <row r="1369" customFormat="false" ht="15.75" hidden="false" customHeight="false" outlineLevel="0" collapsed="false">
      <c r="A1369" s="48" t="s">
        <v>1594</v>
      </c>
      <c r="B1369" s="48" t="s">
        <v>277</v>
      </c>
      <c r="C1369" s="48" t="s">
        <v>1608</v>
      </c>
    </row>
    <row r="1370" customFormat="false" ht="15.75" hidden="false" customHeight="false" outlineLevel="0" collapsed="false">
      <c r="A1370" s="48" t="s">
        <v>1594</v>
      </c>
      <c r="B1370" s="48" t="s">
        <v>277</v>
      </c>
      <c r="C1370" s="48" t="s">
        <v>1609</v>
      </c>
    </row>
    <row r="1371" customFormat="false" ht="15.75" hidden="false" customHeight="false" outlineLevel="0" collapsed="false">
      <c r="A1371" s="48" t="s">
        <v>1594</v>
      </c>
      <c r="B1371" s="48" t="s">
        <v>277</v>
      </c>
      <c r="C1371" s="48" t="s">
        <v>1610</v>
      </c>
    </row>
    <row r="1372" customFormat="false" ht="15.75" hidden="false" customHeight="false" outlineLevel="0" collapsed="false">
      <c r="A1372" s="48" t="s">
        <v>1594</v>
      </c>
      <c r="B1372" s="48" t="s">
        <v>277</v>
      </c>
      <c r="C1372" s="48" t="s">
        <v>1611</v>
      </c>
    </row>
    <row r="1373" customFormat="false" ht="15.75" hidden="false" customHeight="false" outlineLevel="0" collapsed="false">
      <c r="A1373" s="48" t="s">
        <v>1594</v>
      </c>
      <c r="B1373" s="48" t="s">
        <v>277</v>
      </c>
      <c r="C1373" s="48" t="s">
        <v>1612</v>
      </c>
    </row>
    <row r="1374" customFormat="false" ht="15.75" hidden="false" customHeight="false" outlineLevel="0" collapsed="false">
      <c r="A1374" s="48" t="s">
        <v>1594</v>
      </c>
      <c r="B1374" s="48" t="s">
        <v>277</v>
      </c>
      <c r="C1374" s="48" t="s">
        <v>1613</v>
      </c>
    </row>
    <row r="1375" customFormat="false" ht="15.75" hidden="false" customHeight="false" outlineLevel="0" collapsed="false">
      <c r="A1375" s="48" t="s">
        <v>1594</v>
      </c>
      <c r="B1375" s="48" t="s">
        <v>277</v>
      </c>
      <c r="C1375" s="48" t="s">
        <v>1614</v>
      </c>
    </row>
    <row r="1376" customFormat="false" ht="15.75" hidden="false" customHeight="false" outlineLevel="0" collapsed="false">
      <c r="A1376" s="48" t="s">
        <v>1594</v>
      </c>
      <c r="B1376" s="48" t="s">
        <v>277</v>
      </c>
      <c r="C1376" s="48" t="s">
        <v>1615</v>
      </c>
    </row>
    <row r="1377" customFormat="false" ht="15.75" hidden="false" customHeight="false" outlineLevel="0" collapsed="false">
      <c r="A1377" s="48" t="s">
        <v>1594</v>
      </c>
      <c r="B1377" s="48" t="s">
        <v>277</v>
      </c>
      <c r="C1377" s="48" t="s">
        <v>1616</v>
      </c>
    </row>
    <row r="1378" customFormat="false" ht="15.75" hidden="false" customHeight="false" outlineLevel="0" collapsed="false">
      <c r="A1378" s="48" t="s">
        <v>1594</v>
      </c>
      <c r="B1378" s="48" t="s">
        <v>277</v>
      </c>
      <c r="C1378" s="48" t="s">
        <v>1617</v>
      </c>
    </row>
    <row r="1379" customFormat="false" ht="15.75" hidden="false" customHeight="false" outlineLevel="0" collapsed="false">
      <c r="A1379" s="48" t="s">
        <v>1594</v>
      </c>
      <c r="B1379" s="48" t="s">
        <v>277</v>
      </c>
      <c r="C1379" s="48" t="s">
        <v>1618</v>
      </c>
    </row>
    <row r="1380" customFormat="false" ht="15.75" hidden="false" customHeight="false" outlineLevel="0" collapsed="false">
      <c r="A1380" s="48" t="s">
        <v>1594</v>
      </c>
      <c r="B1380" s="48" t="s">
        <v>277</v>
      </c>
      <c r="C1380" s="48" t="s">
        <v>1619</v>
      </c>
    </row>
    <row r="1381" customFormat="false" ht="15.75" hidden="false" customHeight="false" outlineLevel="0" collapsed="false">
      <c r="A1381" s="48" t="s">
        <v>1594</v>
      </c>
      <c r="B1381" s="48" t="s">
        <v>277</v>
      </c>
      <c r="C1381" s="48" t="s">
        <v>1620</v>
      </c>
    </row>
    <row r="1382" customFormat="false" ht="15.75" hidden="false" customHeight="false" outlineLevel="0" collapsed="false">
      <c r="A1382" s="48" t="s">
        <v>1594</v>
      </c>
      <c r="B1382" s="48" t="s">
        <v>277</v>
      </c>
      <c r="C1382" s="48" t="s">
        <v>1621</v>
      </c>
    </row>
    <row r="1383" customFormat="false" ht="15.75" hidden="false" customHeight="false" outlineLevel="0" collapsed="false">
      <c r="A1383" s="48" t="s">
        <v>1594</v>
      </c>
      <c r="B1383" s="48" t="s">
        <v>277</v>
      </c>
      <c r="C1383" s="48" t="s">
        <v>1622</v>
      </c>
    </row>
    <row r="1384" customFormat="false" ht="15.75" hidden="false" customHeight="false" outlineLevel="0" collapsed="false">
      <c r="A1384" s="48" t="s">
        <v>1594</v>
      </c>
      <c r="B1384" s="48" t="s">
        <v>277</v>
      </c>
      <c r="C1384" s="48" t="s">
        <v>1623</v>
      </c>
    </row>
    <row r="1385" customFormat="false" ht="15.75" hidden="false" customHeight="false" outlineLevel="0" collapsed="false">
      <c r="A1385" s="48" t="s">
        <v>1594</v>
      </c>
      <c r="B1385" s="48" t="s">
        <v>277</v>
      </c>
      <c r="C1385" s="48" t="s">
        <v>1624</v>
      </c>
    </row>
    <row r="1386" customFormat="false" ht="15.75" hidden="false" customHeight="false" outlineLevel="0" collapsed="false">
      <c r="A1386" s="48" t="s">
        <v>1594</v>
      </c>
      <c r="B1386" s="48" t="s">
        <v>277</v>
      </c>
      <c r="C1386" s="48" t="s">
        <v>1625</v>
      </c>
    </row>
    <row r="1387" customFormat="false" ht="15.75" hidden="false" customHeight="false" outlineLevel="0" collapsed="false">
      <c r="A1387" s="48" t="s">
        <v>1594</v>
      </c>
      <c r="B1387" s="48" t="s">
        <v>277</v>
      </c>
      <c r="C1387" s="48" t="s">
        <v>1626</v>
      </c>
    </row>
    <row r="1388" customFormat="false" ht="15.75" hidden="false" customHeight="false" outlineLevel="0" collapsed="false">
      <c r="A1388" s="48" t="s">
        <v>1594</v>
      </c>
      <c r="B1388" s="48" t="s">
        <v>277</v>
      </c>
      <c r="C1388" s="48" t="s">
        <v>1627</v>
      </c>
    </row>
    <row r="1389" customFormat="false" ht="15.75" hidden="false" customHeight="false" outlineLevel="0" collapsed="false">
      <c r="A1389" s="48" t="s">
        <v>1594</v>
      </c>
      <c r="B1389" s="48" t="s">
        <v>277</v>
      </c>
      <c r="C1389" s="48" t="s">
        <v>1628</v>
      </c>
    </row>
    <row r="1390" customFormat="false" ht="15.75" hidden="false" customHeight="false" outlineLevel="0" collapsed="false">
      <c r="A1390" s="48" t="s">
        <v>1594</v>
      </c>
      <c r="B1390" s="48" t="s">
        <v>277</v>
      </c>
      <c r="C1390" s="48" t="s">
        <v>1629</v>
      </c>
    </row>
    <row r="1391" customFormat="false" ht="15.75" hidden="false" customHeight="false" outlineLevel="0" collapsed="false">
      <c r="A1391" s="48" t="s">
        <v>1594</v>
      </c>
      <c r="B1391" s="48" t="s">
        <v>277</v>
      </c>
      <c r="C1391" s="48" t="s">
        <v>1630</v>
      </c>
    </row>
    <row r="1392" customFormat="false" ht="15.75" hidden="false" customHeight="false" outlineLevel="0" collapsed="false">
      <c r="A1392" s="48" t="s">
        <v>1594</v>
      </c>
      <c r="B1392" s="48" t="s">
        <v>277</v>
      </c>
      <c r="C1392" s="48" t="s">
        <v>1631</v>
      </c>
    </row>
    <row r="1393" customFormat="false" ht="15.75" hidden="false" customHeight="false" outlineLevel="0" collapsed="false">
      <c r="A1393" s="48" t="s">
        <v>1594</v>
      </c>
      <c r="B1393" s="48" t="s">
        <v>277</v>
      </c>
      <c r="C1393" s="48" t="s">
        <v>1632</v>
      </c>
    </row>
    <row r="1394" customFormat="false" ht="15.75" hidden="false" customHeight="false" outlineLevel="0" collapsed="false">
      <c r="A1394" s="48" t="s">
        <v>1594</v>
      </c>
      <c r="B1394" s="48" t="s">
        <v>277</v>
      </c>
      <c r="C1394" s="48" t="s">
        <v>1633</v>
      </c>
    </row>
    <row r="1395" customFormat="false" ht="15.75" hidden="false" customHeight="false" outlineLevel="0" collapsed="false">
      <c r="A1395" s="48" t="s">
        <v>1594</v>
      </c>
      <c r="B1395" s="48" t="s">
        <v>277</v>
      </c>
      <c r="C1395" s="48" t="s">
        <v>1634</v>
      </c>
    </row>
    <row r="1396" customFormat="false" ht="15.75" hidden="false" customHeight="false" outlineLevel="0" collapsed="false">
      <c r="A1396" s="48" t="s">
        <v>1594</v>
      </c>
      <c r="B1396" s="48" t="s">
        <v>277</v>
      </c>
      <c r="C1396" s="48" t="s">
        <v>1635</v>
      </c>
    </row>
    <row r="1397" customFormat="false" ht="15.75" hidden="false" customHeight="false" outlineLevel="0" collapsed="false">
      <c r="A1397" s="48" t="s">
        <v>1594</v>
      </c>
      <c r="B1397" s="48" t="s">
        <v>277</v>
      </c>
      <c r="C1397" s="48" t="s">
        <v>1636</v>
      </c>
    </row>
    <row r="1398" customFormat="false" ht="15.75" hidden="false" customHeight="false" outlineLevel="0" collapsed="false">
      <c r="A1398" s="48" t="s">
        <v>1594</v>
      </c>
      <c r="B1398" s="48" t="s">
        <v>277</v>
      </c>
      <c r="C1398" s="48" t="s">
        <v>1637</v>
      </c>
    </row>
    <row r="1399" customFormat="false" ht="15.75" hidden="false" customHeight="false" outlineLevel="0" collapsed="false">
      <c r="A1399" s="48" t="s">
        <v>1594</v>
      </c>
      <c r="B1399" s="48" t="s">
        <v>277</v>
      </c>
      <c r="C1399" s="48" t="s">
        <v>1638</v>
      </c>
    </row>
    <row r="1400" customFormat="false" ht="15.75" hidden="false" customHeight="false" outlineLevel="0" collapsed="false">
      <c r="A1400" s="48" t="s">
        <v>1594</v>
      </c>
      <c r="B1400" s="48" t="s">
        <v>277</v>
      </c>
      <c r="C1400" s="48" t="s">
        <v>1639</v>
      </c>
    </row>
    <row r="1401" customFormat="false" ht="15.75" hidden="false" customHeight="false" outlineLevel="0" collapsed="false">
      <c r="A1401" s="48" t="s">
        <v>1594</v>
      </c>
      <c r="B1401" s="48" t="s">
        <v>277</v>
      </c>
      <c r="C1401" s="48" t="s">
        <v>1640</v>
      </c>
    </row>
    <row r="1402" customFormat="false" ht="15.75" hidden="false" customHeight="false" outlineLevel="0" collapsed="false">
      <c r="A1402" s="48" t="s">
        <v>1594</v>
      </c>
      <c r="B1402" s="48" t="s">
        <v>277</v>
      </c>
      <c r="C1402" s="48" t="s">
        <v>1641</v>
      </c>
    </row>
    <row r="1403" customFormat="false" ht="15.75" hidden="false" customHeight="false" outlineLevel="0" collapsed="false">
      <c r="A1403" s="48" t="s">
        <v>1594</v>
      </c>
      <c r="B1403" s="48" t="s">
        <v>277</v>
      </c>
      <c r="C1403" s="48" t="s">
        <v>1642</v>
      </c>
    </row>
    <row r="1404" customFormat="false" ht="15.75" hidden="false" customHeight="false" outlineLevel="0" collapsed="false">
      <c r="A1404" s="48" t="s">
        <v>1594</v>
      </c>
      <c r="B1404" s="48" t="s">
        <v>277</v>
      </c>
      <c r="C1404" s="48" t="s">
        <v>1643</v>
      </c>
    </row>
    <row r="1405" customFormat="false" ht="15.75" hidden="false" customHeight="false" outlineLevel="0" collapsed="false">
      <c r="A1405" s="48" t="s">
        <v>1594</v>
      </c>
      <c r="B1405" s="48" t="s">
        <v>277</v>
      </c>
      <c r="C1405" s="48" t="s">
        <v>1644</v>
      </c>
    </row>
    <row r="1406" customFormat="false" ht="15.75" hidden="false" customHeight="false" outlineLevel="0" collapsed="false">
      <c r="A1406" s="48" t="s">
        <v>1594</v>
      </c>
      <c r="B1406" s="48" t="s">
        <v>277</v>
      </c>
      <c r="C1406" s="48" t="s">
        <v>1645</v>
      </c>
    </row>
    <row r="1407" customFormat="false" ht="15.75" hidden="false" customHeight="false" outlineLevel="0" collapsed="false">
      <c r="A1407" s="48" t="s">
        <v>1594</v>
      </c>
      <c r="B1407" s="48" t="s">
        <v>277</v>
      </c>
      <c r="C1407" s="48" t="s">
        <v>1646</v>
      </c>
    </row>
    <row r="1408" customFormat="false" ht="15.75" hidden="false" customHeight="false" outlineLevel="0" collapsed="false">
      <c r="A1408" s="48" t="s">
        <v>1594</v>
      </c>
      <c r="B1408" s="48" t="s">
        <v>277</v>
      </c>
      <c r="C1408" s="48" t="s">
        <v>1647</v>
      </c>
    </row>
    <row r="1409" customFormat="false" ht="15.75" hidden="false" customHeight="false" outlineLevel="0" collapsed="false">
      <c r="A1409" s="48" t="s">
        <v>1594</v>
      </c>
      <c r="B1409" s="48" t="s">
        <v>277</v>
      </c>
      <c r="C1409" s="48" t="s">
        <v>1648</v>
      </c>
    </row>
    <row r="1410" customFormat="false" ht="15.75" hidden="false" customHeight="false" outlineLevel="0" collapsed="false">
      <c r="A1410" s="48" t="s">
        <v>1594</v>
      </c>
      <c r="B1410" s="48" t="s">
        <v>277</v>
      </c>
      <c r="C1410" s="48" t="s">
        <v>644</v>
      </c>
    </row>
    <row r="1411" customFormat="false" ht="15.75" hidden="false" customHeight="false" outlineLevel="0" collapsed="false">
      <c r="A1411" s="48" t="s">
        <v>1594</v>
      </c>
      <c r="B1411" s="48" t="s">
        <v>277</v>
      </c>
      <c r="C1411" s="48" t="s">
        <v>1649</v>
      </c>
    </row>
    <row r="1412" customFormat="false" ht="15.75" hidden="false" customHeight="false" outlineLevel="0" collapsed="false">
      <c r="A1412" s="48" t="s">
        <v>1594</v>
      </c>
      <c r="B1412" s="48" t="s">
        <v>277</v>
      </c>
      <c r="C1412" s="48" t="s">
        <v>1650</v>
      </c>
    </row>
    <row r="1413" customFormat="false" ht="15.75" hidden="false" customHeight="false" outlineLevel="0" collapsed="false">
      <c r="A1413" s="48" t="s">
        <v>1594</v>
      </c>
      <c r="B1413" s="48" t="s">
        <v>277</v>
      </c>
      <c r="C1413" s="48" t="s">
        <v>1651</v>
      </c>
    </row>
    <row r="1414" customFormat="false" ht="15.75" hidden="false" customHeight="false" outlineLevel="0" collapsed="false">
      <c r="A1414" s="48" t="s">
        <v>1594</v>
      </c>
      <c r="B1414" s="48" t="s">
        <v>277</v>
      </c>
      <c r="C1414" s="48" t="s">
        <v>1652</v>
      </c>
    </row>
    <row r="1415" customFormat="false" ht="15.75" hidden="false" customHeight="false" outlineLevel="0" collapsed="false">
      <c r="A1415" s="48" t="s">
        <v>1594</v>
      </c>
      <c r="B1415" s="48" t="s">
        <v>277</v>
      </c>
      <c r="C1415" s="48" t="s">
        <v>1653</v>
      </c>
    </row>
    <row r="1416" customFormat="false" ht="15.75" hidden="false" customHeight="false" outlineLevel="0" collapsed="false">
      <c r="A1416" s="48" t="s">
        <v>1594</v>
      </c>
      <c r="B1416" s="48" t="s">
        <v>277</v>
      </c>
      <c r="C1416" s="48" t="s">
        <v>1654</v>
      </c>
    </row>
    <row r="1417" customFormat="false" ht="15.75" hidden="false" customHeight="false" outlineLevel="0" collapsed="false">
      <c r="A1417" s="48" t="s">
        <v>1594</v>
      </c>
      <c r="B1417" s="48" t="s">
        <v>277</v>
      </c>
      <c r="C1417" s="48" t="s">
        <v>1655</v>
      </c>
    </row>
    <row r="1418" customFormat="false" ht="15.75" hidden="false" customHeight="false" outlineLevel="0" collapsed="false">
      <c r="A1418" s="48" t="s">
        <v>1594</v>
      </c>
      <c r="B1418" s="48" t="s">
        <v>277</v>
      </c>
      <c r="C1418" s="48" t="s">
        <v>1656</v>
      </c>
    </row>
    <row r="1419" customFormat="false" ht="15.75" hidden="false" customHeight="false" outlineLevel="0" collapsed="false">
      <c r="A1419" s="48" t="s">
        <v>1594</v>
      </c>
      <c r="B1419" s="48" t="s">
        <v>277</v>
      </c>
      <c r="C1419" s="48" t="s">
        <v>1657</v>
      </c>
    </row>
    <row r="1420" customFormat="false" ht="15.75" hidden="false" customHeight="false" outlineLevel="0" collapsed="false">
      <c r="A1420" s="48" t="s">
        <v>1594</v>
      </c>
      <c r="B1420" s="48" t="s">
        <v>277</v>
      </c>
      <c r="C1420" s="48" t="s">
        <v>1658</v>
      </c>
    </row>
    <row r="1421" customFormat="false" ht="15.75" hidden="false" customHeight="false" outlineLevel="0" collapsed="false">
      <c r="A1421" s="48" t="s">
        <v>1594</v>
      </c>
      <c r="B1421" s="48" t="s">
        <v>277</v>
      </c>
      <c r="C1421" s="48" t="s">
        <v>1659</v>
      </c>
    </row>
    <row r="1422" customFormat="false" ht="15.75" hidden="false" customHeight="false" outlineLevel="0" collapsed="false">
      <c r="A1422" s="48" t="s">
        <v>1594</v>
      </c>
      <c r="B1422" s="48" t="s">
        <v>277</v>
      </c>
      <c r="C1422" s="48" t="s">
        <v>1660</v>
      </c>
    </row>
    <row r="1423" customFormat="false" ht="15.75" hidden="false" customHeight="false" outlineLevel="0" collapsed="false">
      <c r="A1423" s="48" t="s">
        <v>1594</v>
      </c>
      <c r="B1423" s="48" t="s">
        <v>277</v>
      </c>
      <c r="C1423" s="48" t="s">
        <v>1661</v>
      </c>
    </row>
    <row r="1424" customFormat="false" ht="15.75" hidden="false" customHeight="false" outlineLevel="0" collapsed="false">
      <c r="A1424" s="48" t="s">
        <v>1594</v>
      </c>
      <c r="B1424" s="48" t="s">
        <v>277</v>
      </c>
      <c r="C1424" s="48" t="s">
        <v>1662</v>
      </c>
    </row>
    <row r="1425" customFormat="false" ht="15.75" hidden="false" customHeight="false" outlineLevel="0" collapsed="false">
      <c r="A1425" s="48" t="s">
        <v>1594</v>
      </c>
      <c r="B1425" s="48" t="s">
        <v>277</v>
      </c>
      <c r="C1425" s="48" t="s">
        <v>1663</v>
      </c>
    </row>
    <row r="1426" customFormat="false" ht="15.75" hidden="false" customHeight="false" outlineLevel="0" collapsed="false">
      <c r="A1426" s="48" t="s">
        <v>1594</v>
      </c>
      <c r="B1426" s="48" t="s">
        <v>277</v>
      </c>
      <c r="C1426" s="48" t="s">
        <v>1664</v>
      </c>
    </row>
    <row r="1427" customFormat="false" ht="15.75" hidden="false" customHeight="false" outlineLevel="0" collapsed="false">
      <c r="A1427" s="48" t="s">
        <v>1594</v>
      </c>
      <c r="B1427" s="48" t="s">
        <v>277</v>
      </c>
      <c r="C1427" s="48" t="s">
        <v>1665</v>
      </c>
    </row>
    <row r="1428" customFormat="false" ht="15.75" hidden="false" customHeight="false" outlineLevel="0" collapsed="false">
      <c r="A1428" s="48" t="s">
        <v>1594</v>
      </c>
      <c r="B1428" s="48" t="s">
        <v>277</v>
      </c>
      <c r="C1428" s="48" t="s">
        <v>1666</v>
      </c>
    </row>
    <row r="1429" customFormat="false" ht="15.75" hidden="false" customHeight="false" outlineLevel="0" collapsed="false">
      <c r="A1429" s="48" t="s">
        <v>1594</v>
      </c>
      <c r="B1429" s="48" t="s">
        <v>277</v>
      </c>
      <c r="C1429" s="48" t="s">
        <v>1667</v>
      </c>
    </row>
    <row r="1430" customFormat="false" ht="15.75" hidden="false" customHeight="false" outlineLevel="0" collapsed="false">
      <c r="A1430" s="48" t="s">
        <v>1594</v>
      </c>
      <c r="B1430" s="48" t="s">
        <v>277</v>
      </c>
      <c r="C1430" s="48" t="s">
        <v>1668</v>
      </c>
    </row>
    <row r="1431" customFormat="false" ht="15.75" hidden="false" customHeight="false" outlineLevel="0" collapsed="false">
      <c r="A1431" s="48" t="s">
        <v>1594</v>
      </c>
      <c r="B1431" s="48" t="s">
        <v>277</v>
      </c>
      <c r="C1431" s="48" t="s">
        <v>1669</v>
      </c>
    </row>
    <row r="1432" customFormat="false" ht="15.75" hidden="false" customHeight="false" outlineLevel="0" collapsed="false">
      <c r="A1432" s="48" t="s">
        <v>1594</v>
      </c>
      <c r="B1432" s="48" t="s">
        <v>277</v>
      </c>
      <c r="C1432" s="48" t="s">
        <v>1670</v>
      </c>
    </row>
    <row r="1433" customFormat="false" ht="15.75" hidden="false" customHeight="false" outlineLevel="0" collapsed="false">
      <c r="A1433" s="48" t="s">
        <v>1594</v>
      </c>
      <c r="B1433" s="48" t="s">
        <v>277</v>
      </c>
      <c r="C1433" s="48" t="s">
        <v>1671</v>
      </c>
    </row>
    <row r="1434" customFormat="false" ht="15.75" hidden="false" customHeight="false" outlineLevel="0" collapsed="false">
      <c r="A1434" s="48" t="s">
        <v>1594</v>
      </c>
      <c r="B1434" s="48" t="s">
        <v>277</v>
      </c>
      <c r="C1434" s="48" t="s">
        <v>1672</v>
      </c>
    </row>
    <row r="1435" customFormat="false" ht="15.75" hidden="false" customHeight="false" outlineLevel="0" collapsed="false">
      <c r="A1435" s="48" t="s">
        <v>1594</v>
      </c>
      <c r="B1435" s="48" t="s">
        <v>277</v>
      </c>
      <c r="C1435" s="48" t="s">
        <v>1673</v>
      </c>
    </row>
    <row r="1436" customFormat="false" ht="15.75" hidden="false" customHeight="false" outlineLevel="0" collapsed="false">
      <c r="A1436" s="48" t="s">
        <v>1594</v>
      </c>
      <c r="B1436" s="48" t="s">
        <v>277</v>
      </c>
      <c r="C1436" s="48" t="s">
        <v>1674</v>
      </c>
    </row>
    <row r="1437" customFormat="false" ht="15.75" hidden="false" customHeight="false" outlineLevel="0" collapsed="false">
      <c r="A1437" s="48" t="s">
        <v>1594</v>
      </c>
      <c r="B1437" s="48" t="s">
        <v>277</v>
      </c>
      <c r="C1437" s="48" t="s">
        <v>1675</v>
      </c>
    </row>
    <row r="1438" customFormat="false" ht="15.75" hidden="false" customHeight="false" outlineLevel="0" collapsed="false">
      <c r="A1438" s="48" t="s">
        <v>1594</v>
      </c>
      <c r="B1438" s="48" t="s">
        <v>277</v>
      </c>
      <c r="C1438" s="48" t="s">
        <v>1676</v>
      </c>
    </row>
    <row r="1439" customFormat="false" ht="15.75" hidden="false" customHeight="false" outlineLevel="0" collapsed="false">
      <c r="A1439" s="48" t="s">
        <v>1594</v>
      </c>
      <c r="B1439" s="48" t="s">
        <v>277</v>
      </c>
      <c r="C1439" s="48" t="s">
        <v>1677</v>
      </c>
    </row>
    <row r="1440" customFormat="false" ht="15.75" hidden="false" customHeight="false" outlineLevel="0" collapsed="false">
      <c r="A1440" s="48" t="s">
        <v>1594</v>
      </c>
      <c r="B1440" s="48" t="s">
        <v>277</v>
      </c>
      <c r="C1440" s="48" t="s">
        <v>1678</v>
      </c>
    </row>
    <row r="1441" customFormat="false" ht="15.75" hidden="false" customHeight="false" outlineLevel="0" collapsed="false">
      <c r="A1441" s="48" t="s">
        <v>1594</v>
      </c>
      <c r="B1441" s="48" t="s">
        <v>277</v>
      </c>
      <c r="C1441" s="48" t="s">
        <v>1679</v>
      </c>
    </row>
    <row r="1442" customFormat="false" ht="15.75" hidden="false" customHeight="false" outlineLevel="0" collapsed="false">
      <c r="A1442" s="48" t="s">
        <v>1594</v>
      </c>
      <c r="B1442" s="48" t="s">
        <v>277</v>
      </c>
      <c r="C1442" s="48" t="s">
        <v>1680</v>
      </c>
    </row>
    <row r="1443" customFormat="false" ht="15.75" hidden="false" customHeight="false" outlineLevel="0" collapsed="false">
      <c r="A1443" s="48" t="s">
        <v>1594</v>
      </c>
      <c r="B1443" s="48" t="s">
        <v>293</v>
      </c>
      <c r="C1443" s="48" t="s">
        <v>1681</v>
      </c>
    </row>
    <row r="1444" customFormat="false" ht="15.75" hidden="false" customHeight="false" outlineLevel="0" collapsed="false">
      <c r="A1444" s="48" t="s">
        <v>1594</v>
      </c>
      <c r="B1444" s="48" t="s">
        <v>293</v>
      </c>
      <c r="C1444" s="48" t="s">
        <v>1682</v>
      </c>
    </row>
    <row r="1445" customFormat="false" ht="15.75" hidden="false" customHeight="false" outlineLevel="0" collapsed="false">
      <c r="A1445" s="48" t="s">
        <v>1594</v>
      </c>
      <c r="B1445" s="48" t="s">
        <v>293</v>
      </c>
      <c r="C1445" s="48" t="s">
        <v>1683</v>
      </c>
    </row>
    <row r="1446" customFormat="false" ht="15.75" hidden="false" customHeight="false" outlineLevel="0" collapsed="false">
      <c r="A1446" s="48" t="s">
        <v>1594</v>
      </c>
      <c r="B1446" s="48" t="s">
        <v>293</v>
      </c>
      <c r="C1446" s="48" t="s">
        <v>1684</v>
      </c>
    </row>
    <row r="1447" customFormat="false" ht="15.75" hidden="false" customHeight="false" outlineLevel="0" collapsed="false">
      <c r="A1447" s="48" t="s">
        <v>1594</v>
      </c>
      <c r="B1447" s="48" t="s">
        <v>293</v>
      </c>
      <c r="C1447" s="48" t="s">
        <v>1685</v>
      </c>
    </row>
    <row r="1448" customFormat="false" ht="15.75" hidden="false" customHeight="false" outlineLevel="0" collapsed="false">
      <c r="A1448" s="48" t="s">
        <v>1594</v>
      </c>
      <c r="B1448" s="48" t="s">
        <v>293</v>
      </c>
      <c r="C1448" s="48" t="s">
        <v>1630</v>
      </c>
    </row>
    <row r="1449" customFormat="false" ht="15.75" hidden="false" customHeight="false" outlineLevel="0" collapsed="false">
      <c r="A1449" s="48" t="s">
        <v>1594</v>
      </c>
      <c r="B1449" s="48" t="s">
        <v>293</v>
      </c>
      <c r="C1449" s="48" t="s">
        <v>1686</v>
      </c>
    </row>
    <row r="1450" customFormat="false" ht="15.75" hidden="false" customHeight="false" outlineLevel="0" collapsed="false">
      <c r="A1450" s="48" t="s">
        <v>1594</v>
      </c>
      <c r="B1450" s="48" t="s">
        <v>293</v>
      </c>
      <c r="C1450" s="48" t="s">
        <v>1687</v>
      </c>
    </row>
    <row r="1451" customFormat="false" ht="15.75" hidden="false" customHeight="false" outlineLevel="0" collapsed="false">
      <c r="A1451" s="48" t="s">
        <v>1594</v>
      </c>
      <c r="B1451" s="48" t="s">
        <v>293</v>
      </c>
      <c r="C1451" s="48" t="s">
        <v>1688</v>
      </c>
    </row>
    <row r="1452" customFormat="false" ht="15.75" hidden="false" customHeight="false" outlineLevel="0" collapsed="false">
      <c r="A1452" s="48" t="s">
        <v>1594</v>
      </c>
      <c r="B1452" s="48" t="s">
        <v>293</v>
      </c>
      <c r="C1452" s="48" t="s">
        <v>1689</v>
      </c>
    </row>
    <row r="1453" customFormat="false" ht="15.75" hidden="false" customHeight="false" outlineLevel="0" collapsed="false">
      <c r="A1453" s="48" t="s">
        <v>1594</v>
      </c>
      <c r="B1453" s="48" t="s">
        <v>293</v>
      </c>
      <c r="C1453" s="48" t="s">
        <v>1690</v>
      </c>
    </row>
    <row r="1454" customFormat="false" ht="15.75" hidden="false" customHeight="false" outlineLevel="0" collapsed="false">
      <c r="A1454" s="48" t="s">
        <v>1594</v>
      </c>
      <c r="B1454" s="48" t="s">
        <v>293</v>
      </c>
      <c r="C1454" s="48" t="s">
        <v>1691</v>
      </c>
    </row>
    <row r="1455" customFormat="false" ht="15.75" hidden="false" customHeight="false" outlineLevel="0" collapsed="false">
      <c r="A1455" s="48" t="s">
        <v>1594</v>
      </c>
      <c r="B1455" s="48" t="s">
        <v>293</v>
      </c>
      <c r="C1455" s="48" t="s">
        <v>1692</v>
      </c>
    </row>
    <row r="1456" customFormat="false" ht="15.75" hidden="false" customHeight="false" outlineLevel="0" collapsed="false">
      <c r="A1456" s="48" t="s">
        <v>1594</v>
      </c>
      <c r="B1456" s="48" t="s">
        <v>293</v>
      </c>
      <c r="C1456" s="48" t="s">
        <v>1693</v>
      </c>
    </row>
    <row r="1457" customFormat="false" ht="15.75" hidden="false" customHeight="false" outlineLevel="0" collapsed="false">
      <c r="A1457" s="48" t="s">
        <v>1594</v>
      </c>
      <c r="B1457" s="48" t="s">
        <v>293</v>
      </c>
      <c r="C1457" s="48" t="s">
        <v>1694</v>
      </c>
    </row>
    <row r="1458" customFormat="false" ht="15.75" hidden="false" customHeight="false" outlineLevel="0" collapsed="false">
      <c r="A1458" s="48" t="s">
        <v>1594</v>
      </c>
      <c r="B1458" s="48" t="s">
        <v>293</v>
      </c>
      <c r="C1458" s="48" t="s">
        <v>1695</v>
      </c>
    </row>
    <row r="1459" customFormat="false" ht="15.75" hidden="false" customHeight="false" outlineLevel="0" collapsed="false">
      <c r="A1459" s="48" t="s">
        <v>1594</v>
      </c>
      <c r="B1459" s="48" t="s">
        <v>293</v>
      </c>
      <c r="C1459" s="48" t="s">
        <v>1696</v>
      </c>
    </row>
    <row r="1460" customFormat="false" ht="15.75" hidden="false" customHeight="false" outlineLevel="0" collapsed="false">
      <c r="A1460" s="48" t="s">
        <v>1594</v>
      </c>
      <c r="B1460" s="48" t="s">
        <v>293</v>
      </c>
      <c r="C1460" s="48" t="s">
        <v>1697</v>
      </c>
    </row>
    <row r="1461" customFormat="false" ht="15.75" hidden="false" customHeight="false" outlineLevel="0" collapsed="false">
      <c r="A1461" s="48" t="s">
        <v>1594</v>
      </c>
      <c r="B1461" s="48" t="s">
        <v>293</v>
      </c>
      <c r="C1461" s="48" t="s">
        <v>1698</v>
      </c>
    </row>
    <row r="1462" customFormat="false" ht="15.75" hidden="false" customHeight="false" outlineLevel="0" collapsed="false">
      <c r="A1462" s="48" t="s">
        <v>1594</v>
      </c>
      <c r="B1462" s="48" t="s">
        <v>293</v>
      </c>
      <c r="C1462" s="48" t="s">
        <v>1699</v>
      </c>
    </row>
    <row r="1463" customFormat="false" ht="15.75" hidden="false" customHeight="false" outlineLevel="0" collapsed="false">
      <c r="A1463" s="48" t="s">
        <v>1594</v>
      </c>
      <c r="B1463" s="48" t="s">
        <v>293</v>
      </c>
      <c r="C1463" s="48" t="s">
        <v>1700</v>
      </c>
    </row>
    <row r="1464" customFormat="false" ht="15.75" hidden="false" customHeight="false" outlineLevel="0" collapsed="false">
      <c r="A1464" s="48" t="s">
        <v>1594</v>
      </c>
      <c r="B1464" s="48" t="s">
        <v>293</v>
      </c>
      <c r="C1464" s="48" t="s">
        <v>1701</v>
      </c>
    </row>
    <row r="1465" customFormat="false" ht="15.75" hidden="false" customHeight="false" outlineLevel="0" collapsed="false">
      <c r="A1465" s="48" t="s">
        <v>1594</v>
      </c>
      <c r="B1465" s="48" t="s">
        <v>293</v>
      </c>
      <c r="C1465" s="48" t="s">
        <v>1702</v>
      </c>
    </row>
    <row r="1466" customFormat="false" ht="15.75" hidden="false" customHeight="false" outlineLevel="0" collapsed="false">
      <c r="A1466" s="48" t="s">
        <v>1594</v>
      </c>
      <c r="B1466" s="48" t="s">
        <v>293</v>
      </c>
      <c r="C1466" s="48" t="s">
        <v>1703</v>
      </c>
    </row>
    <row r="1467" customFormat="false" ht="15.75" hidden="false" customHeight="false" outlineLevel="0" collapsed="false">
      <c r="A1467" s="48" t="s">
        <v>1594</v>
      </c>
      <c r="B1467" s="48" t="s">
        <v>293</v>
      </c>
      <c r="C1467" s="48" t="s">
        <v>1704</v>
      </c>
    </row>
    <row r="1468" customFormat="false" ht="15.75" hidden="false" customHeight="false" outlineLevel="0" collapsed="false">
      <c r="A1468" s="48" t="s">
        <v>1594</v>
      </c>
      <c r="B1468" s="48" t="s">
        <v>293</v>
      </c>
      <c r="C1468" s="48" t="s">
        <v>1705</v>
      </c>
    </row>
    <row r="1469" customFormat="false" ht="15.75" hidden="false" customHeight="false" outlineLevel="0" collapsed="false">
      <c r="A1469" s="48" t="s">
        <v>1594</v>
      </c>
      <c r="B1469" s="48" t="s">
        <v>293</v>
      </c>
      <c r="C1469" s="48" t="s">
        <v>1706</v>
      </c>
    </row>
    <row r="1470" customFormat="false" ht="15.75" hidden="false" customHeight="false" outlineLevel="0" collapsed="false">
      <c r="A1470" s="48" t="s">
        <v>1594</v>
      </c>
      <c r="B1470" s="48" t="s">
        <v>293</v>
      </c>
      <c r="C1470" s="48" t="s">
        <v>1707</v>
      </c>
    </row>
    <row r="1471" customFormat="false" ht="15.75" hidden="false" customHeight="false" outlineLevel="0" collapsed="false">
      <c r="A1471" s="48" t="s">
        <v>1594</v>
      </c>
      <c r="B1471" s="48" t="s">
        <v>293</v>
      </c>
      <c r="C1471" s="48" t="s">
        <v>1708</v>
      </c>
    </row>
    <row r="1472" customFormat="false" ht="15.75" hidden="false" customHeight="false" outlineLevel="0" collapsed="false">
      <c r="A1472" s="48" t="s">
        <v>1594</v>
      </c>
      <c r="B1472" s="48" t="s">
        <v>301</v>
      </c>
      <c r="C1472" s="48" t="s">
        <v>1709</v>
      </c>
    </row>
    <row r="1473" customFormat="false" ht="15.75" hidden="false" customHeight="false" outlineLevel="0" collapsed="false">
      <c r="A1473" s="48" t="s">
        <v>1594</v>
      </c>
      <c r="B1473" s="48" t="s">
        <v>301</v>
      </c>
      <c r="C1473" s="48" t="s">
        <v>1092</v>
      </c>
    </row>
    <row r="1474" customFormat="false" ht="15.75" hidden="false" customHeight="false" outlineLevel="0" collapsed="false">
      <c r="A1474" s="48" t="s">
        <v>1594</v>
      </c>
      <c r="B1474" s="48" t="s">
        <v>301</v>
      </c>
      <c r="C1474" s="48" t="s">
        <v>1710</v>
      </c>
    </row>
    <row r="1475" customFormat="false" ht="15.75" hidden="false" customHeight="false" outlineLevel="0" collapsed="false">
      <c r="A1475" s="48" t="s">
        <v>1594</v>
      </c>
      <c r="B1475" s="48" t="s">
        <v>301</v>
      </c>
      <c r="C1475" s="48" t="s">
        <v>1711</v>
      </c>
    </row>
    <row r="1476" customFormat="false" ht="15.75" hidden="false" customHeight="false" outlineLevel="0" collapsed="false">
      <c r="A1476" s="48" t="s">
        <v>1594</v>
      </c>
      <c r="B1476" s="48" t="s">
        <v>301</v>
      </c>
      <c r="C1476" s="48" t="s">
        <v>1712</v>
      </c>
    </row>
    <row r="1477" customFormat="false" ht="15.75" hidden="false" customHeight="false" outlineLevel="0" collapsed="false">
      <c r="A1477" s="48" t="s">
        <v>1594</v>
      </c>
      <c r="B1477" s="48" t="s">
        <v>357</v>
      </c>
      <c r="C1477" s="48" t="s">
        <v>1713</v>
      </c>
    </row>
    <row r="1478" customFormat="false" ht="15.75" hidden="false" customHeight="false" outlineLevel="0" collapsed="false">
      <c r="A1478" s="48" t="s">
        <v>1594</v>
      </c>
      <c r="B1478" s="48" t="s">
        <v>357</v>
      </c>
      <c r="C1478" s="48" t="s">
        <v>1714</v>
      </c>
    </row>
    <row r="1479" customFormat="false" ht="15.75" hidden="false" customHeight="false" outlineLevel="0" collapsed="false">
      <c r="A1479" s="48" t="s">
        <v>1594</v>
      </c>
      <c r="B1479" s="48" t="s">
        <v>357</v>
      </c>
      <c r="C1479" s="48" t="s">
        <v>1715</v>
      </c>
    </row>
    <row r="1480" customFormat="false" ht="15.75" hidden="false" customHeight="false" outlineLevel="0" collapsed="false">
      <c r="A1480" s="48" t="s">
        <v>1594</v>
      </c>
      <c r="B1480" s="48" t="s">
        <v>357</v>
      </c>
      <c r="C1480" s="48" t="s">
        <v>1716</v>
      </c>
    </row>
    <row r="1481" customFormat="false" ht="15.75" hidden="false" customHeight="false" outlineLevel="0" collapsed="false">
      <c r="A1481" s="48" t="s">
        <v>1594</v>
      </c>
      <c r="B1481" s="48" t="s">
        <v>357</v>
      </c>
      <c r="C1481" s="48" t="s">
        <v>1576</v>
      </c>
    </row>
    <row r="1482" customFormat="false" ht="15.75" hidden="false" customHeight="false" outlineLevel="0" collapsed="false">
      <c r="A1482" s="48" t="s">
        <v>1594</v>
      </c>
      <c r="B1482" s="48" t="s">
        <v>357</v>
      </c>
      <c r="C1482" s="48" t="s">
        <v>1717</v>
      </c>
    </row>
    <row r="1483" customFormat="false" ht="15.75" hidden="false" customHeight="false" outlineLevel="0" collapsed="false">
      <c r="A1483" s="48" t="s">
        <v>1594</v>
      </c>
      <c r="B1483" s="48" t="s">
        <v>357</v>
      </c>
      <c r="C1483" s="48" t="s">
        <v>1718</v>
      </c>
    </row>
    <row r="1484" customFormat="false" ht="15.75" hidden="false" customHeight="false" outlineLevel="0" collapsed="false">
      <c r="A1484" s="48" t="s">
        <v>1594</v>
      </c>
      <c r="B1484" s="48" t="s">
        <v>357</v>
      </c>
      <c r="C1484" s="48" t="s">
        <v>1719</v>
      </c>
    </row>
    <row r="1485" customFormat="false" ht="15.75" hidden="false" customHeight="false" outlineLevel="0" collapsed="false">
      <c r="A1485" s="48" t="s">
        <v>1594</v>
      </c>
      <c r="B1485" s="48" t="s">
        <v>357</v>
      </c>
      <c r="C1485" s="48" t="s">
        <v>1720</v>
      </c>
    </row>
    <row r="1486" customFormat="false" ht="15.75" hidden="false" customHeight="false" outlineLevel="0" collapsed="false">
      <c r="A1486" s="48" t="s">
        <v>1594</v>
      </c>
      <c r="B1486" s="48" t="s">
        <v>357</v>
      </c>
      <c r="C1486" s="48" t="s">
        <v>644</v>
      </c>
    </row>
    <row r="1487" customFormat="false" ht="15.75" hidden="false" customHeight="false" outlineLevel="0" collapsed="false">
      <c r="A1487" s="48" t="s">
        <v>1594</v>
      </c>
      <c r="B1487" s="48" t="s">
        <v>357</v>
      </c>
      <c r="C1487" s="48" t="s">
        <v>1721</v>
      </c>
    </row>
    <row r="1488" customFormat="false" ht="15.75" hidden="false" customHeight="false" outlineLevel="0" collapsed="false">
      <c r="A1488" s="48" t="s">
        <v>1594</v>
      </c>
      <c r="B1488" s="48" t="s">
        <v>357</v>
      </c>
      <c r="C1488" s="48" t="s">
        <v>1722</v>
      </c>
    </row>
    <row r="1489" customFormat="false" ht="15.75" hidden="false" customHeight="false" outlineLevel="0" collapsed="false">
      <c r="A1489" s="48" t="s">
        <v>1594</v>
      </c>
      <c r="B1489" s="48" t="s">
        <v>357</v>
      </c>
      <c r="C1489" s="48" t="s">
        <v>1723</v>
      </c>
    </row>
    <row r="1490" customFormat="false" ht="15.75" hidden="false" customHeight="false" outlineLevel="0" collapsed="false">
      <c r="A1490" s="48" t="s">
        <v>1594</v>
      </c>
      <c r="B1490" s="48" t="s">
        <v>357</v>
      </c>
      <c r="C1490" s="48" t="s">
        <v>1724</v>
      </c>
    </row>
    <row r="1491" customFormat="false" ht="15.75" hidden="false" customHeight="false" outlineLevel="0" collapsed="false">
      <c r="A1491" s="48" t="s">
        <v>1594</v>
      </c>
      <c r="B1491" s="48" t="s">
        <v>357</v>
      </c>
      <c r="C1491" s="48" t="s">
        <v>1725</v>
      </c>
    </row>
    <row r="1492" customFormat="false" ht="15.75" hidden="false" customHeight="false" outlineLevel="0" collapsed="false">
      <c r="A1492" s="48" t="s">
        <v>1594</v>
      </c>
      <c r="B1492" s="48" t="s">
        <v>357</v>
      </c>
      <c r="C1492" s="48" t="s">
        <v>1726</v>
      </c>
    </row>
    <row r="1493" customFormat="false" ht="15.75" hidden="false" customHeight="false" outlineLevel="0" collapsed="false">
      <c r="A1493" s="48" t="s">
        <v>1594</v>
      </c>
      <c r="B1493" s="48" t="s">
        <v>357</v>
      </c>
      <c r="C1493" s="48" t="s">
        <v>1727</v>
      </c>
    </row>
    <row r="1494" customFormat="false" ht="13.8" hidden="false" customHeight="false" outlineLevel="0" collapsed="false">
      <c r="A1494" s="48" t="s">
        <v>1594</v>
      </c>
      <c r="B1494" s="48" t="s">
        <v>357</v>
      </c>
      <c r="C1494" s="48" t="s">
        <v>1728</v>
      </c>
    </row>
    <row r="1495" customFormat="false" ht="15.75" hidden="false" customHeight="false" outlineLevel="0" collapsed="false">
      <c r="A1495" s="48" t="s">
        <v>1594</v>
      </c>
      <c r="B1495" s="48" t="s">
        <v>362</v>
      </c>
      <c r="C1495" s="48" t="s">
        <v>1729</v>
      </c>
    </row>
    <row r="1496" customFormat="false" ht="15.75" hidden="false" customHeight="false" outlineLevel="0" collapsed="false">
      <c r="A1496" s="48" t="s">
        <v>1594</v>
      </c>
      <c r="B1496" s="48" t="s">
        <v>362</v>
      </c>
      <c r="C1496" s="48" t="s">
        <v>1730</v>
      </c>
    </row>
    <row r="1497" customFormat="false" ht="15.75" hidden="false" customHeight="false" outlineLevel="0" collapsed="false">
      <c r="A1497" s="48" t="s">
        <v>1594</v>
      </c>
      <c r="B1497" s="48" t="s">
        <v>362</v>
      </c>
      <c r="C1497" s="48" t="s">
        <v>1731</v>
      </c>
    </row>
    <row r="1498" customFormat="false" ht="15.75" hidden="false" customHeight="false" outlineLevel="0" collapsed="false">
      <c r="A1498" s="48" t="s">
        <v>1594</v>
      </c>
      <c r="B1498" s="48" t="s">
        <v>362</v>
      </c>
      <c r="C1498" s="48" t="s">
        <v>1732</v>
      </c>
    </row>
    <row r="1499" customFormat="false" ht="15.75" hidden="false" customHeight="false" outlineLevel="0" collapsed="false">
      <c r="A1499" s="48" t="s">
        <v>1594</v>
      </c>
      <c r="B1499" s="48" t="s">
        <v>362</v>
      </c>
      <c r="C1499" s="48" t="s">
        <v>1733</v>
      </c>
    </row>
    <row r="1500" customFormat="false" ht="15.75" hidden="false" customHeight="false" outlineLevel="0" collapsed="false">
      <c r="A1500" s="48" t="s">
        <v>1594</v>
      </c>
      <c r="B1500" s="48" t="s">
        <v>362</v>
      </c>
      <c r="C1500" s="48" t="s">
        <v>1734</v>
      </c>
    </row>
    <row r="1501" customFormat="false" ht="15.75" hidden="false" customHeight="false" outlineLevel="0" collapsed="false">
      <c r="A1501" s="48" t="s">
        <v>1594</v>
      </c>
      <c r="B1501" s="48" t="s">
        <v>362</v>
      </c>
      <c r="C1501" s="48" t="s">
        <v>1735</v>
      </c>
    </row>
    <row r="1502" customFormat="false" ht="15.75" hidden="false" customHeight="false" outlineLevel="0" collapsed="false">
      <c r="A1502" s="48" t="s">
        <v>1594</v>
      </c>
      <c r="B1502" s="48" t="s">
        <v>362</v>
      </c>
      <c r="C1502" s="48" t="s">
        <v>1736</v>
      </c>
    </row>
    <row r="1503" customFormat="false" ht="15.75" hidden="false" customHeight="false" outlineLevel="0" collapsed="false">
      <c r="A1503" s="48" t="s">
        <v>1594</v>
      </c>
      <c r="B1503" s="48" t="s">
        <v>362</v>
      </c>
      <c r="C1503" s="48" t="s">
        <v>1737</v>
      </c>
    </row>
    <row r="1504" customFormat="false" ht="15.75" hidden="false" customHeight="false" outlineLevel="0" collapsed="false">
      <c r="A1504" s="48" t="s">
        <v>1594</v>
      </c>
      <c r="B1504" s="48" t="s">
        <v>362</v>
      </c>
      <c r="C1504" s="48" t="s">
        <v>1738</v>
      </c>
    </row>
    <row r="1505" customFormat="false" ht="15.75" hidden="false" customHeight="false" outlineLevel="0" collapsed="false">
      <c r="A1505" s="48" t="s">
        <v>1594</v>
      </c>
      <c r="B1505" s="48" t="s">
        <v>362</v>
      </c>
      <c r="C1505" s="48" t="s">
        <v>1739</v>
      </c>
    </row>
    <row r="1506" customFormat="false" ht="15.75" hidden="false" customHeight="false" outlineLevel="0" collapsed="false">
      <c r="A1506" s="48" t="s">
        <v>1594</v>
      </c>
      <c r="B1506" s="48" t="s">
        <v>362</v>
      </c>
      <c r="C1506" s="48" t="s">
        <v>1740</v>
      </c>
    </row>
    <row r="1507" customFormat="false" ht="15.75" hidden="false" customHeight="false" outlineLevel="0" collapsed="false">
      <c r="A1507" s="48" t="s">
        <v>1594</v>
      </c>
      <c r="B1507" s="48" t="s">
        <v>362</v>
      </c>
      <c r="C1507" s="48" t="s">
        <v>1741</v>
      </c>
    </row>
    <row r="1508" customFormat="false" ht="15.75" hidden="false" customHeight="false" outlineLevel="0" collapsed="false">
      <c r="A1508" s="48" t="s">
        <v>1594</v>
      </c>
      <c r="B1508" s="48" t="s">
        <v>362</v>
      </c>
      <c r="C1508" s="48" t="s">
        <v>1742</v>
      </c>
    </row>
    <row r="1509" customFormat="false" ht="15.75" hidden="false" customHeight="false" outlineLevel="0" collapsed="false">
      <c r="A1509" s="48" t="s">
        <v>1594</v>
      </c>
      <c r="B1509" s="48" t="s">
        <v>362</v>
      </c>
      <c r="C1509" s="48" t="s">
        <v>1743</v>
      </c>
    </row>
    <row r="1510" customFormat="false" ht="15.75" hidden="false" customHeight="false" outlineLevel="0" collapsed="false">
      <c r="A1510" s="48" t="s">
        <v>1594</v>
      </c>
      <c r="B1510" s="48" t="s">
        <v>362</v>
      </c>
      <c r="C1510" s="48" t="s">
        <v>1744</v>
      </c>
    </row>
    <row r="1511" customFormat="false" ht="15.75" hidden="false" customHeight="false" outlineLevel="0" collapsed="false">
      <c r="A1511" s="48" t="s">
        <v>1594</v>
      </c>
      <c r="B1511" s="48" t="s">
        <v>362</v>
      </c>
      <c r="C1511" s="48" t="s">
        <v>1745</v>
      </c>
    </row>
    <row r="1512" customFormat="false" ht="15.75" hidden="false" customHeight="false" outlineLevel="0" collapsed="false">
      <c r="A1512" s="48" t="s">
        <v>1594</v>
      </c>
      <c r="B1512" s="48" t="s">
        <v>362</v>
      </c>
      <c r="C1512" s="48" t="s">
        <v>1746</v>
      </c>
    </row>
    <row r="1513" customFormat="false" ht="15.75" hidden="false" customHeight="false" outlineLevel="0" collapsed="false">
      <c r="A1513" s="48" t="s">
        <v>1594</v>
      </c>
      <c r="B1513" s="48" t="s">
        <v>362</v>
      </c>
      <c r="C1513" s="48" t="s">
        <v>1642</v>
      </c>
    </row>
    <row r="1514" customFormat="false" ht="15.75" hidden="false" customHeight="false" outlineLevel="0" collapsed="false">
      <c r="A1514" s="48" t="s">
        <v>1594</v>
      </c>
      <c r="B1514" s="48" t="s">
        <v>362</v>
      </c>
      <c r="C1514" s="48" t="s">
        <v>1747</v>
      </c>
    </row>
    <row r="1515" customFormat="false" ht="15.75" hidden="false" customHeight="false" outlineLevel="0" collapsed="false">
      <c r="A1515" s="48" t="s">
        <v>1594</v>
      </c>
      <c r="B1515" s="48" t="s">
        <v>362</v>
      </c>
      <c r="C1515" s="48" t="s">
        <v>1748</v>
      </c>
    </row>
    <row r="1516" customFormat="false" ht="15.75" hidden="false" customHeight="false" outlineLevel="0" collapsed="false">
      <c r="A1516" s="48" t="s">
        <v>1594</v>
      </c>
      <c r="B1516" s="48" t="s">
        <v>362</v>
      </c>
      <c r="C1516" s="48" t="s">
        <v>649</v>
      </c>
    </row>
    <row r="1517" customFormat="false" ht="15.75" hidden="false" customHeight="false" outlineLevel="0" collapsed="false">
      <c r="A1517" s="48" t="s">
        <v>1594</v>
      </c>
      <c r="B1517" s="48" t="s">
        <v>362</v>
      </c>
      <c r="C1517" s="48" t="s">
        <v>1749</v>
      </c>
    </row>
    <row r="1518" customFormat="false" ht="15.75" hidden="false" customHeight="false" outlineLevel="0" collapsed="false">
      <c r="A1518" s="48" t="s">
        <v>1594</v>
      </c>
      <c r="B1518" s="48" t="s">
        <v>362</v>
      </c>
      <c r="C1518" s="48" t="s">
        <v>1750</v>
      </c>
    </row>
    <row r="1519" customFormat="false" ht="15.75" hidden="false" customHeight="false" outlineLevel="0" collapsed="false">
      <c r="A1519" s="48" t="s">
        <v>1594</v>
      </c>
      <c r="B1519" s="48" t="s">
        <v>362</v>
      </c>
      <c r="C1519" s="48" t="s">
        <v>1751</v>
      </c>
    </row>
    <row r="1520" customFormat="false" ht="15.75" hidden="false" customHeight="false" outlineLevel="0" collapsed="false">
      <c r="A1520" s="48" t="s">
        <v>1594</v>
      </c>
      <c r="B1520" s="48" t="s">
        <v>362</v>
      </c>
      <c r="C1520" s="48" t="s">
        <v>1752</v>
      </c>
    </row>
    <row r="1521" customFormat="false" ht="15.75" hidden="false" customHeight="false" outlineLevel="0" collapsed="false">
      <c r="A1521" s="48" t="s">
        <v>1594</v>
      </c>
      <c r="B1521" s="48" t="s">
        <v>362</v>
      </c>
      <c r="C1521" s="48" t="s">
        <v>1753</v>
      </c>
    </row>
    <row r="1522" customFormat="false" ht="15.75" hidden="false" customHeight="false" outlineLevel="0" collapsed="false">
      <c r="A1522" s="48" t="s">
        <v>1594</v>
      </c>
      <c r="B1522" s="48" t="s">
        <v>362</v>
      </c>
      <c r="C1522" s="48" t="s">
        <v>1754</v>
      </c>
    </row>
    <row r="1523" customFormat="false" ht="15.75" hidden="false" customHeight="false" outlineLevel="0" collapsed="false">
      <c r="A1523" s="48" t="s">
        <v>1594</v>
      </c>
      <c r="B1523" s="48" t="s">
        <v>362</v>
      </c>
      <c r="C1523" s="48" t="s">
        <v>1755</v>
      </c>
    </row>
    <row r="1524" customFormat="false" ht="15.75" hidden="false" customHeight="false" outlineLevel="0" collapsed="false">
      <c r="A1524" s="48" t="s">
        <v>1594</v>
      </c>
      <c r="B1524" s="48" t="s">
        <v>362</v>
      </c>
      <c r="C1524" s="48" t="s">
        <v>1756</v>
      </c>
    </row>
    <row r="1525" customFormat="false" ht="15.75" hidden="false" customHeight="false" outlineLevel="0" collapsed="false">
      <c r="A1525" s="48" t="s">
        <v>1594</v>
      </c>
      <c r="B1525" s="48" t="s">
        <v>362</v>
      </c>
      <c r="C1525" s="48" t="s">
        <v>1757</v>
      </c>
    </row>
    <row r="1526" customFormat="false" ht="15.75" hidden="false" customHeight="false" outlineLevel="0" collapsed="false">
      <c r="A1526" s="48" t="s">
        <v>1594</v>
      </c>
      <c r="B1526" s="48" t="s">
        <v>362</v>
      </c>
      <c r="C1526" s="48" t="s">
        <v>1758</v>
      </c>
    </row>
    <row r="1527" customFormat="false" ht="15.75" hidden="false" customHeight="false" outlineLevel="0" collapsed="false">
      <c r="A1527" s="48" t="s">
        <v>1594</v>
      </c>
      <c r="B1527" s="48" t="s">
        <v>367</v>
      </c>
      <c r="C1527" s="48" t="s">
        <v>1759</v>
      </c>
    </row>
    <row r="1528" customFormat="false" ht="15.75" hidden="false" customHeight="false" outlineLevel="0" collapsed="false">
      <c r="A1528" s="48" t="s">
        <v>1594</v>
      </c>
      <c r="B1528" s="48" t="s">
        <v>367</v>
      </c>
      <c r="C1528" s="48" t="s">
        <v>1760</v>
      </c>
    </row>
    <row r="1529" customFormat="false" ht="15.75" hidden="false" customHeight="false" outlineLevel="0" collapsed="false">
      <c r="A1529" s="48" t="s">
        <v>1594</v>
      </c>
      <c r="B1529" s="48" t="s">
        <v>367</v>
      </c>
      <c r="C1529" s="48" t="s">
        <v>1761</v>
      </c>
    </row>
    <row r="1530" customFormat="false" ht="15.75" hidden="false" customHeight="false" outlineLevel="0" collapsed="false">
      <c r="A1530" s="48" t="s">
        <v>1594</v>
      </c>
      <c r="B1530" s="48" t="s">
        <v>367</v>
      </c>
      <c r="C1530" s="48" t="s">
        <v>1762</v>
      </c>
    </row>
    <row r="1531" customFormat="false" ht="15.75" hidden="false" customHeight="false" outlineLevel="0" collapsed="false">
      <c r="A1531" s="48" t="s">
        <v>1594</v>
      </c>
      <c r="B1531" s="48" t="s">
        <v>367</v>
      </c>
      <c r="C1531" s="48" t="s">
        <v>644</v>
      </c>
    </row>
    <row r="1532" customFormat="false" ht="15.75" hidden="false" customHeight="false" outlineLevel="0" collapsed="false">
      <c r="A1532" s="48" t="s">
        <v>1594</v>
      </c>
      <c r="B1532" s="48" t="s">
        <v>367</v>
      </c>
      <c r="C1532" s="48" t="s">
        <v>1763</v>
      </c>
    </row>
    <row r="1533" customFormat="false" ht="15.75" hidden="false" customHeight="false" outlineLevel="0" collapsed="false">
      <c r="A1533" s="48" t="s">
        <v>1594</v>
      </c>
      <c r="B1533" s="48" t="s">
        <v>367</v>
      </c>
      <c r="C1533" s="48" t="s">
        <v>1753</v>
      </c>
    </row>
    <row r="1534" customFormat="false" ht="15.75" hidden="false" customHeight="false" outlineLevel="0" collapsed="false">
      <c r="A1534" s="48" t="s">
        <v>1594</v>
      </c>
      <c r="B1534" s="48" t="s">
        <v>367</v>
      </c>
      <c r="C1534" s="48" t="s">
        <v>1764</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A99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2" ySplit="2" topLeftCell="C3" activePane="bottomRight" state="frozen"/>
      <selection pane="topLeft" activeCell="A1" activeCellId="0" sqref="A1"/>
      <selection pane="topRight" activeCell="C1" activeCellId="0" sqref="C1"/>
      <selection pane="bottomLeft" activeCell="A3" activeCellId="0" sqref="A3"/>
      <selection pane="bottomRight" activeCell="C3" activeCellId="0" sqref="C3"/>
    </sheetView>
  </sheetViews>
  <sheetFormatPr defaultColWidth="14.4609375" defaultRowHeight="15.75" zeroHeight="false" outlineLevelRow="0" outlineLevelCol="0"/>
  <cols>
    <col collapsed="false" customWidth="true" hidden="false" outlineLevel="0" max="1" min="1" style="0" width="29.29"/>
    <col collapsed="false" customWidth="true" hidden="false" outlineLevel="0" max="2" min="2" style="0" width="28.71"/>
  </cols>
  <sheetData>
    <row r="1" customFormat="false" ht="45" hidden="false" customHeight="true" outlineLevel="0" collapsed="false">
      <c r="A1" s="49"/>
      <c r="B1" s="50"/>
      <c r="C1" s="51" t="s">
        <v>1765</v>
      </c>
      <c r="D1" s="51"/>
      <c r="E1" s="51"/>
      <c r="F1" s="51"/>
      <c r="G1" s="52" t="str">
        <f aca="false">IFERROR(__xludf.dummyfunction("IMPORTRANGE(""https://docs.google.com/spreadsheets/d/1GKhz9pSyUWFf4Xrp7ACbjr4UA3dMq6VxKG1OCLWM9yA/edit#gid=0"", ""A2:A2"")"),"Data computed at 2021-06-07 12:04:55+00:00.")</f>
        <v>Data computed at 2021-06-07 12:04:55+00:00.</v>
      </c>
      <c r="H1" s="52"/>
      <c r="I1" s="52"/>
    </row>
    <row r="2" customFormat="false" ht="15.75" hidden="false" customHeight="false" outlineLevel="0" collapsed="false">
      <c r="A2" s="53"/>
      <c r="B2" s="54" t="s">
        <v>1766</v>
      </c>
      <c r="C2" s="53" t="s">
        <v>1767</v>
      </c>
      <c r="D2" s="53" t="s">
        <v>1768</v>
      </c>
      <c r="E2" s="53" t="s">
        <v>324</v>
      </c>
      <c r="F2" s="53" t="s">
        <v>1769</v>
      </c>
      <c r="G2" s="53" t="s">
        <v>1770</v>
      </c>
      <c r="H2" s="53" t="s">
        <v>349</v>
      </c>
      <c r="I2" s="53" t="s">
        <v>438</v>
      </c>
      <c r="J2" s="53" t="s">
        <v>1771</v>
      </c>
      <c r="K2" s="53" t="s">
        <v>1772</v>
      </c>
      <c r="L2" s="53" t="s">
        <v>614</v>
      </c>
      <c r="M2" s="53" t="s">
        <v>269</v>
      </c>
      <c r="N2" s="53" t="s">
        <v>1773</v>
      </c>
      <c r="O2" s="53" t="s">
        <v>1774</v>
      </c>
      <c r="P2" s="53" t="s">
        <v>51</v>
      </c>
      <c r="Q2" s="53" t="s">
        <v>1775</v>
      </c>
      <c r="R2" s="53" t="s">
        <v>1776</v>
      </c>
      <c r="S2" s="53" t="s">
        <v>1777</v>
      </c>
      <c r="T2" s="53" t="s">
        <v>498</v>
      </c>
      <c r="U2" s="53" t="s">
        <v>1778</v>
      </c>
      <c r="V2" s="53" t="s">
        <v>1779</v>
      </c>
      <c r="W2" s="53" t="s">
        <v>1780</v>
      </c>
      <c r="X2" s="53" t="s">
        <v>1781</v>
      </c>
      <c r="Y2" s="53" t="s">
        <v>1782</v>
      </c>
      <c r="Z2" s="53" t="s">
        <v>1783</v>
      </c>
      <c r="AA2" s="53" t="s">
        <v>1784</v>
      </c>
      <c r="AB2" s="53" t="s">
        <v>1785</v>
      </c>
      <c r="AC2" s="53" t="s">
        <v>522</v>
      </c>
      <c r="AD2" s="53" t="s">
        <v>398</v>
      </c>
      <c r="AE2" s="53" t="s">
        <v>1786</v>
      </c>
      <c r="AF2" s="53" t="s">
        <v>1787</v>
      </c>
      <c r="AG2" s="53" t="s">
        <v>1788</v>
      </c>
      <c r="AH2" s="53" t="s">
        <v>1789</v>
      </c>
      <c r="AI2" s="53" t="s">
        <v>1790</v>
      </c>
      <c r="AJ2" s="53" t="s">
        <v>1791</v>
      </c>
      <c r="AK2" s="53" t="s">
        <v>1792</v>
      </c>
      <c r="AL2" s="53" t="s">
        <v>1793</v>
      </c>
      <c r="AM2" s="53" t="s">
        <v>1794</v>
      </c>
      <c r="AN2" s="53" t="s">
        <v>1795</v>
      </c>
      <c r="AO2" s="53" t="s">
        <v>1796</v>
      </c>
      <c r="AP2" s="53" t="s">
        <v>1797</v>
      </c>
      <c r="AQ2" s="53" t="s">
        <v>1798</v>
      </c>
      <c r="AR2" s="53" t="s">
        <v>1799</v>
      </c>
      <c r="AS2" s="53" t="s">
        <v>1800</v>
      </c>
      <c r="AT2" s="53" t="s">
        <v>1801</v>
      </c>
      <c r="AU2" s="53" t="s">
        <v>1802</v>
      </c>
      <c r="AV2" s="53" t="s">
        <v>1803</v>
      </c>
      <c r="AW2" s="53" t="s">
        <v>1804</v>
      </c>
      <c r="AX2" s="53" t="s">
        <v>1805</v>
      </c>
      <c r="AY2" s="53" t="s">
        <v>1806</v>
      </c>
      <c r="AZ2" s="53" t="s">
        <v>1807</v>
      </c>
      <c r="BA2" s="53" t="s">
        <v>1808</v>
      </c>
    </row>
    <row r="3" customFormat="false" ht="15.75" hidden="false" customHeight="false" outlineLevel="0" collapsed="false">
      <c r="A3" s="55" t="s">
        <v>1809</v>
      </c>
      <c r="B3" s="56" t="n">
        <f aca="false">IFERROR(__xludf.dummyfunction("TRANSPOSE(IMPORTRANGE(""https://docs.google.com/spreadsheets/d/1sNrf4xlwHQ-LujHTd1_nLHq6duGtTzjk33k9jntfg4c"", ""D4:D55""))"),125859234)</f>
        <v>125859234</v>
      </c>
      <c r="C3" s="57" t="n">
        <f aca="false">IFERROR(__xludf.dummyfunction("""COMPUTED_VALUE"""),2565684)</f>
        <v>2565684</v>
      </c>
      <c r="D3" s="58" t="n">
        <f aca="false">IFERROR(__xludf.dummyfunction("""COMPUTED_VALUE"""),826256)</f>
        <v>826256</v>
      </c>
      <c r="E3" s="58" t="n">
        <f aca="false">IFERROR(__xludf.dummyfunction("""COMPUTED_VALUE"""),2510681)</f>
        <v>2510681</v>
      </c>
      <c r="F3" s="58" t="n">
        <f aca="false">IFERROR(__xludf.dummyfunction("""COMPUTED_VALUE"""),1315284)</f>
        <v>1315284</v>
      </c>
      <c r="G3" s="58" t="n">
        <f aca="false">IFERROR(__xludf.dummyfunction("""COMPUTED_VALUE"""),10678230)</f>
        <v>10678230</v>
      </c>
      <c r="H3" s="58" t="n">
        <f aca="false">IFERROR(__xludf.dummyfunction("""COMPUTED_VALUE"""),2547576)</f>
        <v>2547576</v>
      </c>
      <c r="I3" s="58" t="n">
        <f aca="false">IFERROR(__xludf.dummyfunction("""COMPUTED_VALUE"""),1245563)</f>
        <v>1245563</v>
      </c>
      <c r="J3" s="58" t="n">
        <f aca="false">IFERROR(__xludf.dummyfunction("""COMPUTED_VALUE"""),530192)</f>
        <v>530192</v>
      </c>
      <c r="K3" s="58" t="n">
        <f aca="false">IFERROR(__xludf.dummyfunction("""COMPUTED_VALUE"""),182248)</f>
        <v>182248</v>
      </c>
      <c r="L3" s="58" t="n">
        <f aca="false">IFERROR(__xludf.dummyfunction("""COMPUTED_VALUE"""),8418529)</f>
        <v>8418529</v>
      </c>
      <c r="M3" s="58" t="n">
        <f aca="false">IFERROR(__xludf.dummyfunction("""COMPUTED_VALUE"""),4424447)</f>
        <v>4424447</v>
      </c>
      <c r="N3" s="58" t="n">
        <f aca="false">IFERROR(__xludf.dummyfunction("""COMPUTED_VALUE"""),670071)</f>
        <v>670071</v>
      </c>
      <c r="O3" s="58" t="n">
        <f aca="false">IFERROR(__xludf.dummyfunction("""COMPUTED_VALUE"""),841093)</f>
        <v>841093</v>
      </c>
      <c r="P3" s="58" t="n">
        <f aca="false">IFERROR(__xludf.dummyfunction("""COMPUTED_VALUE"""),4516521)</f>
        <v>4516521</v>
      </c>
      <c r="Q3" s="58" t="n">
        <f aca="false">IFERROR(__xludf.dummyfunction("""COMPUTED_VALUE"""),2433447)</f>
        <v>2433447</v>
      </c>
      <c r="R3" s="58" t="n">
        <f aca="false">IFERROR(__xludf.dummyfunction("""COMPUTED_VALUE"""),1710027)</f>
        <v>1710027</v>
      </c>
      <c r="S3" s="58" t="n">
        <f aca="false">IFERROR(__xludf.dummyfunction("""COMPUTED_VALUE"""),1141858)</f>
        <v>1141858</v>
      </c>
      <c r="T3" s="58" t="n">
        <f aca="false">IFERROR(__xludf.dummyfunction("""COMPUTED_VALUE"""),2064440)</f>
        <v>2064440</v>
      </c>
      <c r="U3" s="58" t="n">
        <f aca="false">IFERROR(__xludf.dummyfunction("""COMPUTED_VALUE"""),1893842)</f>
        <v>1893842</v>
      </c>
      <c r="V3" s="58" t="n">
        <f aca="false">IFERROR(__xludf.dummyfunction("""COMPUTED_VALUE"""),685405)</f>
        <v>685405</v>
      </c>
      <c r="W3" s="58" t="n">
        <f aca="false">IFERROR(__xludf.dummyfunction("""COMPUTED_VALUE"""),2249612)</f>
        <v>2249612</v>
      </c>
      <c r="X3" s="58" t="n">
        <f aca="false">IFERROR(__xludf.dummyfunction("""COMPUTED_VALUE"""),2270935)</f>
        <v>2270935</v>
      </c>
      <c r="Y3" s="58" t="n">
        <f aca="false">IFERROR(__xludf.dummyfunction("""COMPUTED_VALUE"""),4273059)</f>
        <v>4273059</v>
      </c>
      <c r="Z3" s="58" t="n">
        <f aca="false">IFERROR(__xludf.dummyfunction("""COMPUTED_VALUE"""),2372956)</f>
        <v>2372956</v>
      </c>
      <c r="AA3" s="58" t="n">
        <f aca="false">IFERROR(__xludf.dummyfunction("""COMPUTED_VALUE"""),1546376)</f>
        <v>1546376</v>
      </c>
      <c r="AB3" s="58" t="n">
        <f aca="false">IFERROR(__xludf.dummyfunction("""COMPUTED_VALUE"""),2786074)</f>
        <v>2786074</v>
      </c>
      <c r="AC3" s="58" t="n">
        <f aca="false">IFERROR(__xludf.dummyfunction("""COMPUTED_VALUE"""),481377)</f>
        <v>481377</v>
      </c>
      <c r="AD3" s="58" t="n">
        <f aca="false">IFERROR(__xludf.dummyfunction("""COMPUTED_VALUE"""),785442)</f>
        <v>785442</v>
      </c>
      <c r="AE3" s="58" t="n">
        <f aca="false">IFERROR(__xludf.dummyfunction("""COMPUTED_VALUE"""),1018115)</f>
        <v>1018115</v>
      </c>
      <c r="AF3" s="58" t="n">
        <f aca="false">IFERROR(__xludf.dummyfunction("""COMPUTED_VALUE"""),596543)</f>
        <v>596543</v>
      </c>
      <c r="AG3" s="58" t="n">
        <f aca="false">IFERROR(__xludf.dummyfunction("""COMPUTED_VALUE"""),2878260)</f>
        <v>2878260</v>
      </c>
      <c r="AH3" s="58" t="n">
        <f aca="false">IFERROR(__xludf.dummyfunction("""COMPUTED_VALUE"""),1128765)</f>
        <v>1128765</v>
      </c>
      <c r="AI3" s="58" t="n">
        <f aca="false">IFERROR(__xludf.dummyfunction("""COMPUTED_VALUE"""),5814307)</f>
        <v>5814307</v>
      </c>
      <c r="AJ3" s="58" t="n">
        <f aca="false">IFERROR(__xludf.dummyfunction("""COMPUTED_VALUE"""),4696414)</f>
        <v>4696414</v>
      </c>
      <c r="AK3" s="58" t="n">
        <f aca="false">IFERROR(__xludf.dummyfunction("""COMPUTED_VALUE"""),297155)</f>
        <v>297155</v>
      </c>
      <c r="AL3" s="58" t="n">
        <f aca="false">IFERROR(__xludf.dummyfunction("""COMPUTED_VALUE"""),4415976)</f>
        <v>4415976</v>
      </c>
      <c r="AM3" s="58" t="n">
        <f aca="false">IFERROR(__xludf.dummyfunction("""COMPUTED_VALUE"""),2159193)</f>
        <v>2159193</v>
      </c>
      <c r="AN3" s="58" t="n">
        <f aca="false">IFERROR(__xludf.dummyfunction("""COMPUTED_VALUE"""),1658553)</f>
        <v>1658553</v>
      </c>
      <c r="AO3" s="58" t="n">
        <f aca="false">IFERROR(__xludf.dummyfunction("""COMPUTED_VALUE"""),5033059)</f>
        <v>5033059</v>
      </c>
      <c r="AP3" s="58" t="n">
        <f aca="false">IFERROR(__xludf.dummyfunction("""COMPUTED_VALUE"""),370775)</f>
        <v>370775</v>
      </c>
      <c r="AQ3" s="58" t="n">
        <f aca="false">IFERROR(__xludf.dummyfunction("""COMPUTED_VALUE"""),2544908)</f>
        <v>2544908</v>
      </c>
      <c r="AR3" s="58" t="n">
        <f aca="false">IFERROR(__xludf.dummyfunction("""COMPUTED_VALUE"""),360647)</f>
        <v>360647</v>
      </c>
      <c r="AS3" s="58" t="n">
        <f aca="false">IFERROR(__xludf.dummyfunction("""COMPUTED_VALUE"""),3434117)</f>
        <v>3434117</v>
      </c>
      <c r="AT3" s="58" t="n">
        <f aca="false">IFERROR(__xludf.dummyfunction("""COMPUTED_VALUE"""),9817293)</f>
        <v>9817293</v>
      </c>
      <c r="AU3" s="58" t="n">
        <f aca="false">IFERROR(__xludf.dummyfunction("""COMPUTED_VALUE"""),1146054)</f>
        <v>1146054</v>
      </c>
      <c r="AV3" s="58" t="n">
        <f aca="false">IFERROR(__xludf.dummyfunction("""COMPUTED_VALUE"""),371712)</f>
        <v>371712</v>
      </c>
      <c r="AW3" s="58" t="n">
        <f aca="false">IFERROR(__xludf.dummyfunction("""COMPUTED_VALUE"""),3516975)</f>
        <v>3516975</v>
      </c>
      <c r="AX3" s="58" t="n">
        <f aca="false">IFERROR(__xludf.dummyfunction("""COMPUTED_VALUE"""),2677925)</f>
        <v>2677925</v>
      </c>
      <c r="AY3" s="58" t="n">
        <f aca="false">IFERROR(__xludf.dummyfunction("""COMPUTED_VALUE"""),1079621)</f>
        <v>1079621</v>
      </c>
      <c r="AZ3" s="58" t="n">
        <f aca="false">IFERROR(__xludf.dummyfunction("""COMPUTED_VALUE"""),2590008)</f>
        <v>2590008</v>
      </c>
      <c r="BA3" s="58" t="n">
        <f aca="false">IFERROR(__xludf.dummyfunction("""COMPUTED_VALUE"""),268378)</f>
        <v>268378</v>
      </c>
    </row>
    <row r="4" customFormat="false" ht="15.75" hidden="false" customHeight="false" outlineLevel="0" collapsed="false">
      <c r="B4" s="59"/>
      <c r="C4" s="60"/>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row>
    <row r="5" customFormat="false" ht="15.75" hidden="false" customHeight="false" outlineLevel="0" collapsed="false">
      <c r="A5" s="62" t="s">
        <v>1810</v>
      </c>
      <c r="B5" s="63"/>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5"/>
    </row>
    <row r="6" customFormat="false" ht="15.75" hidden="false" customHeight="false" outlineLevel="0" collapsed="false">
      <c r="A6" s="66" t="str">
        <f aca="false">IFERROR(__xludf.dummyfunction("TRANSPOSE(IMPORTRANGE(""https://docs.google.com/spreadsheets/d/1sNrf4xlwHQ-LujHTd1_nLHq6duGtTzjk33k9jntfg4c"", ""'Addresses'!F4:V56""))"),"street_number")</f>
        <v>street_number</v>
      </c>
      <c r="B6" s="67" t="n">
        <f aca="false">IFERROR(__xludf.dummyfunction("""COMPUTED_VALUE"""),116144577)</f>
        <v>116144577</v>
      </c>
      <c r="C6" s="68" t="n">
        <f aca="false">IFERROR(__xludf.dummyfunction("""COMPUTED_VALUE"""),1986891)</f>
        <v>1986891</v>
      </c>
      <c r="D6" s="69" t="n">
        <f aca="false">IFERROR(__xludf.dummyfunction("""COMPUTED_VALUE"""),247004)</f>
        <v>247004</v>
      </c>
      <c r="E6" s="70" t="n">
        <f aca="false">IFERROR(__xludf.dummyfunction("""COMPUTED_VALUE"""),2451528)</f>
        <v>2451528</v>
      </c>
      <c r="F6" s="70" t="n">
        <f aca="false">IFERROR(__xludf.dummyfunction("""COMPUTED_VALUE"""),1232525)</f>
        <v>1232525</v>
      </c>
      <c r="G6" s="70" t="n">
        <f aca="false">IFERROR(__xludf.dummyfunction("""COMPUTED_VALUE"""),10402157)</f>
        <v>10402157</v>
      </c>
      <c r="H6" s="70" t="n">
        <f aca="false">IFERROR(__xludf.dummyfunction("""COMPUTED_VALUE"""),2485442)</f>
        <v>2485442</v>
      </c>
      <c r="I6" s="70" t="n">
        <f aca="false">IFERROR(__xludf.dummyfunction("""COMPUTED_VALUE"""),1238852)</f>
        <v>1238852</v>
      </c>
      <c r="J6" s="70" t="n">
        <f aca="false">IFERROR(__xludf.dummyfunction("""COMPUTED_VALUE"""),492919)</f>
        <v>492919</v>
      </c>
      <c r="K6" s="70" t="n">
        <f aca="false">IFERROR(__xludf.dummyfunction("""COMPUTED_VALUE"""),181795)</f>
        <v>181795</v>
      </c>
      <c r="L6" s="70" t="n">
        <f aca="false">IFERROR(__xludf.dummyfunction("""COMPUTED_VALUE"""),8269201)</f>
        <v>8269201</v>
      </c>
      <c r="M6" s="70" t="n">
        <f aca="false">IFERROR(__xludf.dummyfunction("""COMPUTED_VALUE"""),4064239)</f>
        <v>4064239</v>
      </c>
      <c r="N6" s="70" t="n">
        <f aca="false">IFERROR(__xludf.dummyfunction("""COMPUTED_VALUE"""),655779)</f>
        <v>655779</v>
      </c>
      <c r="O6" s="70" t="n">
        <f aca="false">IFERROR(__xludf.dummyfunction("""COMPUTED_VALUE"""),726573)</f>
        <v>726573</v>
      </c>
      <c r="P6" s="70" t="n">
        <f aca="false">IFERROR(__xludf.dummyfunction("""COMPUTED_VALUE"""),4369391)</f>
        <v>4369391</v>
      </c>
      <c r="Q6" s="70" t="n">
        <f aca="false">IFERROR(__xludf.dummyfunction("""COMPUTED_VALUE"""),2388861)</f>
        <v>2388861</v>
      </c>
      <c r="R6" s="70" t="n">
        <f aca="false">IFERROR(__xludf.dummyfunction("""COMPUTED_VALUE"""),1465046)</f>
        <v>1465046</v>
      </c>
      <c r="S6" s="70" t="n">
        <f aca="false">IFERROR(__xludf.dummyfunction("""COMPUTED_VALUE"""),1083451)</f>
        <v>1083451</v>
      </c>
      <c r="T6" s="70" t="n">
        <f aca="false">IFERROR(__xludf.dummyfunction("""COMPUTED_VALUE"""),1711585)</f>
        <v>1711585</v>
      </c>
      <c r="U6" s="70" t="n">
        <f aca="false">IFERROR(__xludf.dummyfunction("""COMPUTED_VALUE"""),1767842)</f>
        <v>1767842</v>
      </c>
      <c r="V6" s="70" t="n">
        <f aca="false">IFERROR(__xludf.dummyfunction("""COMPUTED_VALUE"""),625575)</f>
        <v>625575</v>
      </c>
      <c r="W6" s="70" t="n">
        <f aca="false">IFERROR(__xludf.dummyfunction("""COMPUTED_VALUE"""),2185957)</f>
        <v>2185957</v>
      </c>
      <c r="X6" s="70" t="n">
        <f aca="false">IFERROR(__xludf.dummyfunction("""COMPUTED_VALUE"""),2259283)</f>
        <v>2259283</v>
      </c>
      <c r="Y6" s="70" t="n">
        <f aca="false">IFERROR(__xludf.dummyfunction("""COMPUTED_VALUE"""),4020890)</f>
        <v>4020890</v>
      </c>
      <c r="Z6" s="70" t="n">
        <f aca="false">IFERROR(__xludf.dummyfunction("""COMPUTED_VALUE"""),2138498)</f>
        <v>2138498</v>
      </c>
      <c r="AA6" s="70" t="n">
        <f aca="false">IFERROR(__xludf.dummyfunction("""COMPUTED_VALUE"""),1082761)</f>
        <v>1082761</v>
      </c>
      <c r="AB6" s="70" t="n">
        <f aca="false">IFERROR(__xludf.dummyfunction("""COMPUTED_VALUE"""),2294136)</f>
        <v>2294136</v>
      </c>
      <c r="AC6" s="70" t="n">
        <f aca="false">IFERROR(__xludf.dummyfunction("""COMPUTED_VALUE"""),426140)</f>
        <v>426140</v>
      </c>
      <c r="AD6" s="70" t="n">
        <f aca="false">IFERROR(__xludf.dummyfunction("""COMPUTED_VALUE"""),713094)</f>
        <v>713094</v>
      </c>
      <c r="AE6" s="70" t="n">
        <f aca="false">IFERROR(__xludf.dummyfunction("""COMPUTED_VALUE"""),1004263)</f>
        <v>1004263</v>
      </c>
      <c r="AF6" s="70" t="n">
        <f aca="false">IFERROR(__xludf.dummyfunction("""COMPUTED_VALUE"""),586630)</f>
        <v>586630</v>
      </c>
      <c r="AG6" s="70" t="n">
        <f aca="false">IFERROR(__xludf.dummyfunction("""COMPUTED_VALUE"""),2856862)</f>
        <v>2856862</v>
      </c>
      <c r="AH6" s="70" t="n">
        <f aca="false">IFERROR(__xludf.dummyfunction("""COMPUTED_VALUE"""),820562)</f>
        <v>820562</v>
      </c>
      <c r="AI6" s="70" t="n">
        <f aca="false">IFERROR(__xludf.dummyfunction("""COMPUTED_VALUE"""),5712192)</f>
        <v>5712192</v>
      </c>
      <c r="AJ6" s="70" t="n">
        <f aca="false">IFERROR(__xludf.dummyfunction("""COMPUTED_VALUE"""),4202993)</f>
        <v>4202993</v>
      </c>
      <c r="AK6" s="70" t="n">
        <f aca="false">IFERROR(__xludf.dummyfunction("""COMPUTED_VALUE"""),224369)</f>
        <v>224369</v>
      </c>
      <c r="AL6" s="70" t="n">
        <f aca="false">IFERROR(__xludf.dummyfunction("""COMPUTED_VALUE"""),4232870)</f>
        <v>4232870</v>
      </c>
      <c r="AM6" s="70" t="n">
        <f aca="false">IFERROR(__xludf.dummyfunction("""COMPUTED_VALUE"""),1775720)</f>
        <v>1775720</v>
      </c>
      <c r="AN6" s="70" t="n">
        <f aca="false">IFERROR(__xludf.dummyfunction("""COMPUTED_VALUE"""),1554039)</f>
        <v>1554039</v>
      </c>
      <c r="AO6" s="70" t="n">
        <f aca="false">IFERROR(__xludf.dummyfunction("""COMPUTED_VALUE"""),4743866)</f>
        <v>4743866</v>
      </c>
      <c r="AP6" s="70" t="n">
        <f aca="false">IFERROR(__xludf.dummyfunction("""COMPUTED_VALUE"""),367168)</f>
        <v>367168</v>
      </c>
      <c r="AQ6" s="70" t="n">
        <f aca="false">IFERROR(__xludf.dummyfunction("""COMPUTED_VALUE"""),2204885)</f>
        <v>2204885</v>
      </c>
      <c r="AR6" s="70" t="n">
        <f aca="false">IFERROR(__xludf.dummyfunction("""COMPUTED_VALUE"""),312816)</f>
        <v>312816</v>
      </c>
      <c r="AS6" s="70" t="n">
        <f aca="false">IFERROR(__xludf.dummyfunction("""COMPUTED_VALUE"""),2960468)</f>
        <v>2960468</v>
      </c>
      <c r="AT6" s="70" t="n">
        <f aca="false">IFERROR(__xludf.dummyfunction("""COMPUTED_VALUE"""),9393099)</f>
        <v>9393099</v>
      </c>
      <c r="AU6" s="70" t="n">
        <f aca="false">IFERROR(__xludf.dummyfunction("""COMPUTED_VALUE"""),1049020)</f>
        <v>1049020</v>
      </c>
      <c r="AV6" s="70" t="n">
        <f aca="false">IFERROR(__xludf.dummyfunction("""COMPUTED_VALUE"""),324919)</f>
        <v>324919</v>
      </c>
      <c r="AW6" s="70" t="n">
        <f aca="false">IFERROR(__xludf.dummyfunction("""COMPUTED_VALUE"""),3036929)</f>
        <v>3036929</v>
      </c>
      <c r="AX6" s="70" t="n">
        <f aca="false">IFERROR(__xludf.dummyfunction("""COMPUTED_VALUE"""),2535393)</f>
        <v>2535393</v>
      </c>
      <c r="AY6" s="70" t="n">
        <f aca="false">IFERROR(__xludf.dummyfunction("""COMPUTED_VALUE"""),716026)</f>
        <v>716026</v>
      </c>
      <c r="AZ6" s="70" t="n">
        <f aca="false">IFERROR(__xludf.dummyfunction("""COMPUTED_VALUE"""),2300687)</f>
        <v>2300687</v>
      </c>
      <c r="BA6" s="70" t="n">
        <f aca="false">IFERROR(__xludf.dummyfunction("""COMPUTED_VALUE"""),258538)</f>
        <v>258538</v>
      </c>
    </row>
    <row r="7" customFormat="false" ht="15.75" hidden="false" customHeight="false" outlineLevel="0" collapsed="false">
      <c r="A7" s="71" t="str">
        <f aca="false">IFERROR(__xludf.dummyfunction("""COMPUTED_VALUE"""),"street_pre_direction")</f>
        <v>street_pre_direction</v>
      </c>
      <c r="B7" s="72" t="n">
        <f aca="false">IFERROR(__xludf.dummyfunction("""COMPUTED_VALUE"""),23504606)</f>
        <v>23504606</v>
      </c>
      <c r="C7" s="73" t="n">
        <f aca="false">IFERROR(__xludf.dummyfunction("""COMPUTED_VALUE"""),113241)</f>
        <v>113241</v>
      </c>
      <c r="D7" s="70" t="n">
        <f aca="false">IFERROR(__xludf.dummyfunction("""COMPUTED_VALUE"""),75352)</f>
        <v>75352</v>
      </c>
      <c r="E7" s="70" t="n">
        <f aca="false">IFERROR(__xludf.dummyfunction("""COMPUTED_VALUE"""),2238831)</f>
        <v>2238831</v>
      </c>
      <c r="F7" s="70" t="n">
        <f aca="false">IFERROR(__xludf.dummyfunction("""COMPUTED_VALUE"""),262666)</f>
        <v>262666</v>
      </c>
      <c r="G7" s="70" t="n">
        <f aca="false">IFERROR(__xludf.dummyfunction("""COMPUTED_VALUE"""),1441020)</f>
        <v>1441020</v>
      </c>
      <c r="H7" s="70" t="n">
        <f aca="false">IFERROR(__xludf.dummyfunction("""COMPUTED_VALUE"""),759560)</f>
        <v>759560</v>
      </c>
      <c r="I7" s="70" t="n">
        <f aca="false">IFERROR(__xludf.dummyfunction("""COMPUTED_VALUE"""),41670)</f>
        <v>41670</v>
      </c>
      <c r="J7" s="70" t="n">
        <f aca="false">IFERROR(__xludf.dummyfunction("""COMPUTED_VALUE"""),61607)</f>
        <v>61607</v>
      </c>
      <c r="K7" s="70" t="n">
        <f aca="false">IFERROR(__xludf.dummyfunction("""COMPUTED_VALUE"""),2558)</f>
        <v>2558</v>
      </c>
      <c r="L7" s="70" t="n">
        <f aca="false">IFERROR(__xludf.dummyfunction("""COMPUTED_VALUE"""),2353649)</f>
        <v>2353649</v>
      </c>
      <c r="M7" s="70" t="n">
        <f aca="false">IFERROR(__xludf.dummyfunction("""COMPUTED_VALUE"""),194270)</f>
        <v>194270</v>
      </c>
      <c r="N7" s="70" t="n">
        <f aca="false">IFERROR(__xludf.dummyfunction("""COMPUTED_VALUE"""),17864)</f>
        <v>17864</v>
      </c>
      <c r="O7" s="70" t="n">
        <f aca="false">IFERROR(__xludf.dummyfunction("""COMPUTED_VALUE"""),408245)</f>
        <v>408245</v>
      </c>
      <c r="P7" s="70" t="n">
        <f aca="false">IFERROR(__xludf.dummyfunction("""COMPUTED_VALUE"""),1967754)</f>
        <v>1967754</v>
      </c>
      <c r="Q7" s="70" t="n">
        <f aca="false">IFERROR(__xludf.dummyfunction("""COMPUTED_VALUE"""),1023958)</f>
        <v>1023958</v>
      </c>
      <c r="R7" s="70" t="n">
        <f aca="false">IFERROR(__xludf.dummyfunction("""COMPUTED_VALUE"""),372492)</f>
        <v>372492</v>
      </c>
      <c r="S7" s="70" t="n">
        <f aca="false">IFERROR(__xludf.dummyfunction("""COMPUTED_VALUE"""),652130)</f>
        <v>652130</v>
      </c>
      <c r="T7" s="70" t="n">
        <f aca="false">IFERROR(__xludf.dummyfunction("""COMPUTED_VALUE"""),134489)</f>
        <v>134489</v>
      </c>
      <c r="U7" s="70" t="n">
        <f aca="false">IFERROR(__xludf.dummyfunction("""COMPUTED_VALUE"""),158800)</f>
        <v>158800</v>
      </c>
      <c r="V7" s="70" t="n">
        <f aca="false">IFERROR(__xludf.dummyfunction("""COMPUTED_VALUE"""),21942)</f>
        <v>21942</v>
      </c>
      <c r="W7" s="70" t="n">
        <f aca="false">IFERROR(__xludf.dummyfunction("""COMPUTED_VALUE"""),126173)</f>
        <v>126173</v>
      </c>
      <c r="X7" s="70" t="n">
        <f aca="false">IFERROR(__xludf.dummyfunction("""COMPUTED_VALUE"""),64382)</f>
        <v>64382</v>
      </c>
      <c r="Y7" s="70" t="n">
        <f aca="false">IFERROR(__xludf.dummyfunction("""COMPUTED_VALUE"""),733144)</f>
        <v>733144</v>
      </c>
      <c r="Z7" s="70" t="n">
        <f aca="false">IFERROR(__xludf.dummyfunction("""COMPUTED_VALUE"""),168755)</f>
        <v>168755</v>
      </c>
      <c r="AA7" s="70" t="n">
        <f aca="false">IFERROR(__xludf.dummyfunction("""COMPUTED_VALUE"""),88581)</f>
        <v>88581</v>
      </c>
      <c r="AB7" s="70" t="n">
        <f aca="false">IFERROR(__xludf.dummyfunction("""COMPUTED_VALUE"""),722033)</f>
        <v>722033</v>
      </c>
      <c r="AC7" s="70" t="n">
        <f aca="false">IFERROR(__xludf.dummyfunction("""COMPUTED_VALUE"""),61350)</f>
        <v>61350</v>
      </c>
      <c r="AD7" s="70" t="n">
        <f aca="false">IFERROR(__xludf.dummyfunction("""COMPUTED_VALUE"""),289605)</f>
        <v>289605</v>
      </c>
      <c r="AE7" s="70" t="n">
        <f aca="false">IFERROR(__xludf.dummyfunction("""COMPUTED_VALUE"""),104887)</f>
        <v>104887</v>
      </c>
      <c r="AF7" s="70" t="n">
        <f aca="false">IFERROR(__xludf.dummyfunction("""COMPUTED_VALUE"""),18070)</f>
        <v>18070</v>
      </c>
      <c r="AG7" s="70" t="n">
        <f aca="false">IFERROR(__xludf.dummyfunction("""COMPUTED_VALUE"""),237243)</f>
        <v>237243</v>
      </c>
      <c r="AH7" s="70" t="n">
        <f aca="false">IFERROR(__xludf.dummyfunction("""COMPUTED_VALUE"""),125328)</f>
        <v>125328</v>
      </c>
      <c r="AI7" s="70" t="n">
        <f aca="false">IFERROR(__xludf.dummyfunction("""COMPUTED_VALUE"""),567291)</f>
        <v>567291</v>
      </c>
      <c r="AJ7" s="70" t="n">
        <f aca="false">IFERROR(__xludf.dummyfunction("""COMPUTED_VALUE"""),307656)</f>
        <v>307656</v>
      </c>
      <c r="AK7" s="70" t="n">
        <f aca="false">IFERROR(__xludf.dummyfunction("""COMPUTED_VALUE"""),19891)</f>
        <v>19891</v>
      </c>
      <c r="AL7" s="70" t="n">
        <f aca="false">IFERROR(__xludf.dummyfunction("""COMPUTED_VALUE"""),555707)</f>
        <v>555707</v>
      </c>
      <c r="AM7" s="70" t="n">
        <f aca="false">IFERROR(__xludf.dummyfunction("""COMPUTED_VALUE"""),1089100)</f>
        <v>1089100</v>
      </c>
      <c r="AN7" s="70" t="n">
        <f aca="false">IFERROR(__xludf.dummyfunction("""COMPUTED_VALUE"""),841609)</f>
        <v>841609</v>
      </c>
      <c r="AO7" s="70" t="n">
        <f aca="false">IFERROR(__xludf.dummyfunction("""COMPUTED_VALUE"""),719979)</f>
        <v>719979</v>
      </c>
      <c r="AP7" s="70" t="n">
        <f aca="false">IFERROR(__xludf.dummyfunction("""COMPUTED_VALUE"""),9741)</f>
        <v>9741</v>
      </c>
      <c r="AQ7" s="70" t="n">
        <f aca="false">IFERROR(__xludf.dummyfunction("""COMPUTED_VALUE"""),143093)</f>
        <v>143093</v>
      </c>
      <c r="AR7" s="70" t="n">
        <f aca="false">IFERROR(__xludf.dummyfunction("""COMPUTED_VALUE"""),123610)</f>
        <v>123610</v>
      </c>
      <c r="AS7" s="70" t="n">
        <f aca="false">IFERROR(__xludf.dummyfunction("""COMPUTED_VALUE"""),174755)</f>
        <v>174755</v>
      </c>
      <c r="AT7" s="70" t="n">
        <f aca="false">IFERROR(__xludf.dummyfunction("""COMPUTED_VALUE"""),1135228)</f>
        <v>1135228</v>
      </c>
      <c r="AU7" s="70" t="n">
        <f aca="false">IFERROR(__xludf.dummyfunction("""COMPUTED_VALUE"""),913642)</f>
        <v>913642</v>
      </c>
      <c r="AV7" s="70" t="n">
        <f aca="false">IFERROR(__xludf.dummyfunction("""COMPUTED_VALUE"""),18446)</f>
        <v>18446</v>
      </c>
      <c r="AW7" s="70" t="n">
        <f aca="false">IFERROR(__xludf.dummyfunction("""COMPUTED_VALUE"""),172229)</f>
        <v>172229</v>
      </c>
      <c r="AX7" s="70" t="n">
        <f aca="false">IFERROR(__xludf.dummyfunction("""COMPUTED_VALUE"""),905992)</f>
        <v>905992</v>
      </c>
      <c r="AY7" s="70" t="n">
        <f aca="false">IFERROR(__xludf.dummyfunction("""COMPUTED_VALUE"""),41093)</f>
        <v>41093</v>
      </c>
      <c r="AZ7" s="70" t="n">
        <f aca="false">IFERROR(__xludf.dummyfunction("""COMPUTED_VALUE"""),660084)</f>
        <v>660084</v>
      </c>
      <c r="BA7" s="70" t="n">
        <f aca="false">IFERROR(__xludf.dummyfunction("""COMPUTED_VALUE"""),63206)</f>
        <v>63206</v>
      </c>
    </row>
    <row r="8" customFormat="false" ht="15.75" hidden="false" customHeight="false" outlineLevel="0" collapsed="false">
      <c r="A8" s="71" t="str">
        <f aca="false">IFERROR(__xludf.dummyfunction("""COMPUTED_VALUE"""),"street_name")</f>
        <v>street_name</v>
      </c>
      <c r="B8" s="72" t="n">
        <f aca="false">IFERROR(__xludf.dummyfunction("""COMPUTED_VALUE"""),119651677)</f>
        <v>119651677</v>
      </c>
      <c r="C8" s="73" t="n">
        <f aca="false">IFERROR(__xludf.dummyfunction("""COMPUTED_VALUE"""),2138898)</f>
        <v>2138898</v>
      </c>
      <c r="D8" s="70" t="n">
        <f aca="false">IFERROR(__xludf.dummyfunction("""COMPUTED_VALUE"""),249335)</f>
        <v>249335</v>
      </c>
      <c r="E8" s="70" t="n">
        <f aca="false">IFERROR(__xludf.dummyfunction("""COMPUTED_VALUE"""),2455773)</f>
        <v>2455773</v>
      </c>
      <c r="F8" s="70" t="n">
        <f aca="false">IFERROR(__xludf.dummyfunction("""COMPUTED_VALUE"""),1276545)</f>
        <v>1276545</v>
      </c>
      <c r="G8" s="70" t="n">
        <f aca="false">IFERROR(__xludf.dummyfunction("""COMPUTED_VALUE"""),10454736)</f>
        <v>10454736</v>
      </c>
      <c r="H8" s="70" t="n">
        <f aca="false">IFERROR(__xludf.dummyfunction("""COMPUTED_VALUE"""),2495325)</f>
        <v>2495325</v>
      </c>
      <c r="I8" s="70" t="n">
        <f aca="false">IFERROR(__xludf.dummyfunction("""COMPUTED_VALUE"""),1245463)</f>
        <v>1245463</v>
      </c>
      <c r="J8" s="70" t="n">
        <f aca="false">IFERROR(__xludf.dummyfunction("""COMPUTED_VALUE"""),495988)</f>
        <v>495988</v>
      </c>
      <c r="K8" s="70" t="n">
        <f aca="false">IFERROR(__xludf.dummyfunction("""COMPUTED_VALUE"""),182237)</f>
        <v>182237</v>
      </c>
      <c r="L8" s="70" t="n">
        <f aca="false">IFERROR(__xludf.dummyfunction("""COMPUTED_VALUE"""),8357157)</f>
        <v>8357157</v>
      </c>
      <c r="M8" s="70" t="n">
        <f aca="false">IFERROR(__xludf.dummyfunction("""COMPUTED_VALUE"""),4316307)</f>
        <v>4316307</v>
      </c>
      <c r="N8" s="70" t="n">
        <f aca="false">IFERROR(__xludf.dummyfunction("""COMPUTED_VALUE"""),665428)</f>
        <v>665428</v>
      </c>
      <c r="O8" s="70" t="n">
        <f aca="false">IFERROR(__xludf.dummyfunction("""COMPUTED_VALUE"""),746992)</f>
        <v>746992</v>
      </c>
      <c r="P8" s="70" t="n">
        <f aca="false">IFERROR(__xludf.dummyfunction("""COMPUTED_VALUE"""),4409132)</f>
        <v>4409132</v>
      </c>
      <c r="Q8" s="70" t="n">
        <f aca="false">IFERROR(__xludf.dummyfunction("""COMPUTED_VALUE"""),2427092)</f>
        <v>2427092</v>
      </c>
      <c r="R8" s="70" t="n">
        <f aca="false">IFERROR(__xludf.dummyfunction("""COMPUTED_VALUE"""),1493881)</f>
        <v>1493881</v>
      </c>
      <c r="S8" s="70" t="n">
        <f aca="false">IFERROR(__xludf.dummyfunction("""COMPUTED_VALUE"""),1100135)</f>
        <v>1100135</v>
      </c>
      <c r="T8" s="70" t="n">
        <f aca="false">IFERROR(__xludf.dummyfunction("""COMPUTED_VALUE"""),1885201)</f>
        <v>1885201</v>
      </c>
      <c r="U8" s="70" t="n">
        <f aca="false">IFERROR(__xludf.dummyfunction("""COMPUTED_VALUE"""),1784970)</f>
        <v>1784970</v>
      </c>
      <c r="V8" s="70" t="n">
        <f aca="false">IFERROR(__xludf.dummyfunction("""COMPUTED_VALUE"""),633946)</f>
        <v>633946</v>
      </c>
      <c r="W8" s="70" t="n">
        <f aca="false">IFERROR(__xludf.dummyfunction("""COMPUTED_VALUE"""),2241534)</f>
        <v>2241534</v>
      </c>
      <c r="X8" s="70" t="n">
        <f aca="false">IFERROR(__xludf.dummyfunction("""COMPUTED_VALUE"""),2270449)</f>
        <v>2270449</v>
      </c>
      <c r="Y8" s="70" t="n">
        <f aca="false">IFERROR(__xludf.dummyfunction("""COMPUTED_VALUE"""),4140591)</f>
        <v>4140591</v>
      </c>
      <c r="Z8" s="70" t="n">
        <f aca="false">IFERROR(__xludf.dummyfunction("""COMPUTED_VALUE"""),2143879)</f>
        <v>2143879</v>
      </c>
      <c r="AA8" s="70" t="n">
        <f aca="false">IFERROR(__xludf.dummyfunction("""COMPUTED_VALUE"""),1198546)</f>
        <v>1198546</v>
      </c>
      <c r="AB8" s="70" t="n">
        <f aca="false">IFERROR(__xludf.dummyfunction("""COMPUTED_VALUE"""),2430007)</f>
        <v>2430007</v>
      </c>
      <c r="AC8" s="70" t="n">
        <f aca="false">IFERROR(__xludf.dummyfunction("""COMPUTED_VALUE"""),440450)</f>
        <v>440450</v>
      </c>
      <c r="AD8" s="70" t="n">
        <f aca="false">IFERROR(__xludf.dummyfunction("""COMPUTED_VALUE"""),718781)</f>
        <v>718781</v>
      </c>
      <c r="AE8" s="70" t="n">
        <f aca="false">IFERROR(__xludf.dummyfunction("""COMPUTED_VALUE"""),1010083)</f>
        <v>1010083</v>
      </c>
      <c r="AF8" s="70" t="n">
        <f aca="false">IFERROR(__xludf.dummyfunction("""COMPUTED_VALUE"""),596177)</f>
        <v>596177</v>
      </c>
      <c r="AG8" s="70" t="n">
        <f aca="false">IFERROR(__xludf.dummyfunction("""COMPUTED_VALUE"""),2864510)</f>
        <v>2864510</v>
      </c>
      <c r="AH8" s="70" t="n">
        <f aca="false">IFERROR(__xludf.dummyfunction("""COMPUTED_VALUE"""),832433)</f>
        <v>832433</v>
      </c>
      <c r="AI8" s="70" t="n">
        <f aca="false">IFERROR(__xludf.dummyfunction("""COMPUTED_VALUE"""),5808579)</f>
        <v>5808579</v>
      </c>
      <c r="AJ8" s="70" t="n">
        <f aca="false">IFERROR(__xludf.dummyfunction("""COMPUTED_VALUE"""),4547803)</f>
        <v>4547803</v>
      </c>
      <c r="AK8" s="70" t="n">
        <f aca="false">IFERROR(__xludf.dummyfunction("""COMPUTED_VALUE"""),226352)</f>
        <v>226352</v>
      </c>
      <c r="AL8" s="70" t="n">
        <f aca="false">IFERROR(__xludf.dummyfunction("""COMPUTED_VALUE"""),4380380)</f>
        <v>4380380</v>
      </c>
      <c r="AM8" s="70" t="n">
        <f aca="false">IFERROR(__xludf.dummyfunction("""COMPUTED_VALUE"""),1814880)</f>
        <v>1814880</v>
      </c>
      <c r="AN8" s="70" t="n">
        <f aca="false">IFERROR(__xludf.dummyfunction("""COMPUTED_VALUE"""),1572016)</f>
        <v>1572016</v>
      </c>
      <c r="AO8" s="70" t="n">
        <f aca="false">IFERROR(__xludf.dummyfunction("""COMPUTED_VALUE"""),4839746)</f>
        <v>4839746</v>
      </c>
      <c r="AP8" s="70" t="n">
        <f aca="false">IFERROR(__xludf.dummyfunction("""COMPUTED_VALUE"""),370772)</f>
        <v>370772</v>
      </c>
      <c r="AQ8" s="70" t="n">
        <f aca="false">IFERROR(__xludf.dummyfunction("""COMPUTED_VALUE"""),2271569)</f>
        <v>2271569</v>
      </c>
      <c r="AR8" s="70" t="n">
        <f aca="false">IFERROR(__xludf.dummyfunction("""COMPUTED_VALUE"""),314659)</f>
        <v>314659</v>
      </c>
      <c r="AS8" s="70" t="n">
        <f aca="false">IFERROR(__xludf.dummyfunction("""COMPUTED_VALUE"""),3418643)</f>
        <v>3418643</v>
      </c>
      <c r="AT8" s="70" t="n">
        <f aca="false">IFERROR(__xludf.dummyfunction("""COMPUTED_VALUE"""),9603877)</f>
        <v>9603877</v>
      </c>
      <c r="AU8" s="70" t="n">
        <f aca="false">IFERROR(__xludf.dummyfunction("""COMPUTED_VALUE"""),1057732)</f>
        <v>1057732</v>
      </c>
      <c r="AV8" s="70" t="n">
        <f aca="false">IFERROR(__xludf.dummyfunction("""COMPUTED_VALUE"""),343484)</f>
        <v>343484</v>
      </c>
      <c r="AW8" s="70" t="n">
        <f aca="false">IFERROR(__xludf.dummyfunction("""COMPUTED_VALUE"""),3174430)</f>
        <v>3174430</v>
      </c>
      <c r="AX8" s="70" t="n">
        <f aca="false">IFERROR(__xludf.dummyfunction("""COMPUTED_VALUE"""),2564672)</f>
        <v>2564672</v>
      </c>
      <c r="AY8" s="70" t="n">
        <f aca="false">IFERROR(__xludf.dummyfunction("""COMPUTED_VALUE"""),1026031)</f>
        <v>1026031</v>
      </c>
      <c r="AZ8" s="70" t="n">
        <f aca="false">IFERROR(__xludf.dummyfunction("""COMPUTED_VALUE"""),2346687)</f>
        <v>2346687</v>
      </c>
      <c r="BA8" s="70" t="n">
        <f aca="false">IFERROR(__xludf.dummyfunction("""COMPUTED_VALUE"""),264536)</f>
        <v>264536</v>
      </c>
    </row>
    <row r="9" customFormat="false" ht="15.75" hidden="false" customHeight="false" outlineLevel="0" collapsed="false">
      <c r="A9" s="71" t="str">
        <f aca="false">IFERROR(__xludf.dummyfunction("""COMPUTED_VALUE"""),"street_suffix")</f>
        <v>street_suffix</v>
      </c>
      <c r="B9" s="72" t="n">
        <f aca="false">IFERROR(__xludf.dummyfunction("""COMPUTED_VALUE"""),112461708)</f>
        <v>112461708</v>
      </c>
      <c r="C9" s="73" t="n">
        <f aca="false">IFERROR(__xludf.dummyfunction("""COMPUTED_VALUE"""),1826746)</f>
        <v>1826746</v>
      </c>
      <c r="D9" s="70" t="n">
        <f aca="false">IFERROR(__xludf.dummyfunction("""COMPUTED_VALUE"""),247066)</f>
        <v>247066</v>
      </c>
      <c r="E9" s="70" t="n">
        <f aca="false">IFERROR(__xludf.dummyfunction("""COMPUTED_VALUE"""),2300497)</f>
        <v>2300497</v>
      </c>
      <c r="F9" s="70" t="n">
        <f aca="false">IFERROR(__xludf.dummyfunction("""COMPUTED_VALUE"""),1066886)</f>
        <v>1066886</v>
      </c>
      <c r="G9" s="70" t="n">
        <f aca="false">IFERROR(__xludf.dummyfunction("""COMPUTED_VALUE"""),9857953)</f>
        <v>9857953</v>
      </c>
      <c r="H9" s="70" t="n">
        <f aca="false">IFERROR(__xludf.dummyfunction("""COMPUTED_VALUE"""),2350591)</f>
        <v>2350591</v>
      </c>
      <c r="I9" s="70" t="n">
        <f aca="false">IFERROR(__xludf.dummyfunction("""COMPUTED_VALUE"""),1232610)</f>
        <v>1232610</v>
      </c>
      <c r="J9" s="70" t="n">
        <f aca="false">IFERROR(__xludf.dummyfunction("""COMPUTED_VALUE"""),493095)</f>
        <v>493095</v>
      </c>
      <c r="K9" s="70" t="n">
        <f aca="false">IFERROR(__xludf.dummyfunction("""COMPUTED_VALUE"""),182205)</f>
        <v>182205</v>
      </c>
      <c r="L9" s="70" t="n">
        <f aca="false">IFERROR(__xludf.dummyfunction("""COMPUTED_VALUE"""),8139334)</f>
        <v>8139334</v>
      </c>
      <c r="M9" s="70" t="n">
        <f aca="false">IFERROR(__xludf.dummyfunction("""COMPUTED_VALUE"""),4163423)</f>
        <v>4163423</v>
      </c>
      <c r="N9" s="70" t="n">
        <f aca="false">IFERROR(__xludf.dummyfunction("""COMPUTED_VALUE"""),655611)</f>
        <v>655611</v>
      </c>
      <c r="O9" s="70" t="n">
        <f aca="false">IFERROR(__xludf.dummyfunction("""COMPUTED_VALUE"""),664169)</f>
        <v>664169</v>
      </c>
      <c r="P9" s="70" t="n">
        <f aca="false">IFERROR(__xludf.dummyfunction("""COMPUTED_VALUE"""),4300784)</f>
        <v>4300784</v>
      </c>
      <c r="Q9" s="70" t="n">
        <f aca="false">IFERROR(__xludf.dummyfunction("""COMPUTED_VALUE"""),2059569)</f>
        <v>2059569</v>
      </c>
      <c r="R9" s="70" t="n">
        <f aca="false">IFERROR(__xludf.dummyfunction("""COMPUTED_VALUE"""),1444139)</f>
        <v>1444139</v>
      </c>
      <c r="S9" s="70" t="n">
        <f aca="false">IFERROR(__xludf.dummyfunction("""COMPUTED_VALUE"""),1062616)</f>
        <v>1062616</v>
      </c>
      <c r="T9" s="70" t="n">
        <f aca="false">IFERROR(__xludf.dummyfunction("""COMPUTED_VALUE"""),1719820)</f>
        <v>1719820</v>
      </c>
      <c r="U9" s="70" t="n">
        <f aca="false">IFERROR(__xludf.dummyfunction("""COMPUTED_VALUE"""),1663199)</f>
        <v>1663199</v>
      </c>
      <c r="V9" s="70" t="n">
        <f aca="false">IFERROR(__xludf.dummyfunction("""COMPUTED_VALUE"""),623258)</f>
        <v>623258</v>
      </c>
      <c r="W9" s="70" t="n">
        <f aca="false">IFERROR(__xludf.dummyfunction("""COMPUTED_VALUE"""),2217656)</f>
        <v>2217656</v>
      </c>
      <c r="X9" s="70" t="n">
        <f aca="false">IFERROR(__xludf.dummyfunction("""COMPUTED_VALUE"""),2249910)</f>
        <v>2249910</v>
      </c>
      <c r="Y9" s="70" t="n">
        <f aca="false">IFERROR(__xludf.dummyfunction("""COMPUTED_VALUE"""),3987667)</f>
        <v>3987667</v>
      </c>
      <c r="Z9" s="70" t="n">
        <f aca="false">IFERROR(__xludf.dummyfunction("""COMPUTED_VALUE"""),2026684)</f>
        <v>2026684</v>
      </c>
      <c r="AA9" s="70" t="n">
        <f aca="false">IFERROR(__xludf.dummyfunction("""COMPUTED_VALUE"""),1020534)</f>
        <v>1020534</v>
      </c>
      <c r="AB9" s="70" t="n">
        <f aca="false">IFERROR(__xludf.dummyfunction("""COMPUTED_VALUE"""),2151763)</f>
        <v>2151763</v>
      </c>
      <c r="AC9" s="70" t="n">
        <f aca="false">IFERROR(__xludf.dummyfunction("""COMPUTED_VALUE"""),418073)</f>
        <v>418073</v>
      </c>
      <c r="AD9" s="70" t="n">
        <f aca="false">IFERROR(__xludf.dummyfunction("""COMPUTED_VALUE"""),672998)</f>
        <v>672998</v>
      </c>
      <c r="AE9" s="70" t="n">
        <f aca="false">IFERROR(__xludf.dummyfunction("""COMPUTED_VALUE"""),998782)</f>
        <v>998782</v>
      </c>
      <c r="AF9" s="70" t="n">
        <f aca="false">IFERROR(__xludf.dummyfunction("""COMPUTED_VALUE"""),581307)</f>
        <v>581307</v>
      </c>
      <c r="AG9" s="70" t="n">
        <f aca="false">IFERROR(__xludf.dummyfunction("""COMPUTED_VALUE"""),2807182)</f>
        <v>2807182</v>
      </c>
      <c r="AH9" s="70" t="n">
        <f aca="false">IFERROR(__xludf.dummyfunction("""COMPUTED_VALUE"""),706912)</f>
        <v>706912</v>
      </c>
      <c r="AI9" s="70" t="n">
        <f aca="false">IFERROR(__xludf.dummyfunction("""COMPUTED_VALUE"""),5475098)</f>
        <v>5475098</v>
      </c>
      <c r="AJ9" s="70" t="n">
        <f aca="false">IFERROR(__xludf.dummyfunction("""COMPUTED_VALUE"""),4391622)</f>
        <v>4391622</v>
      </c>
      <c r="AK9" s="70" t="n">
        <f aca="false">IFERROR(__xludf.dummyfunction("""COMPUTED_VALUE"""),217622)</f>
        <v>217622</v>
      </c>
      <c r="AL9" s="70" t="n">
        <f aca="false">IFERROR(__xludf.dummyfunction("""COMPUTED_VALUE"""),4097072)</f>
        <v>4097072</v>
      </c>
      <c r="AM9" s="70" t="n">
        <f aca="false">IFERROR(__xludf.dummyfunction("""COMPUTED_VALUE"""),1680247)</f>
        <v>1680247</v>
      </c>
      <c r="AN9" s="70" t="n">
        <f aca="false">IFERROR(__xludf.dummyfunction("""COMPUTED_VALUE"""),1532041)</f>
        <v>1532041</v>
      </c>
      <c r="AO9" s="70" t="n">
        <f aca="false">IFERROR(__xludf.dummyfunction("""COMPUTED_VALUE"""),4745613)</f>
        <v>4745613</v>
      </c>
      <c r="AP9" s="70" t="n">
        <f aca="false">IFERROR(__xludf.dummyfunction("""COMPUTED_VALUE"""),368517)</f>
        <v>368517</v>
      </c>
      <c r="AQ9" s="70" t="n">
        <f aca="false">IFERROR(__xludf.dummyfunction("""COMPUTED_VALUE"""),2206686)</f>
        <v>2206686</v>
      </c>
      <c r="AR9" s="70" t="n">
        <f aca="false">IFERROR(__xludf.dummyfunction("""COMPUTED_VALUE"""),303282)</f>
        <v>303282</v>
      </c>
      <c r="AS9" s="70" t="n">
        <f aca="false">IFERROR(__xludf.dummyfunction("""COMPUTED_VALUE"""),3274177)</f>
        <v>3274177</v>
      </c>
      <c r="AT9" s="70" t="n">
        <f aca="false">IFERROR(__xludf.dummyfunction("""COMPUTED_VALUE"""),8453561)</f>
        <v>8453561</v>
      </c>
      <c r="AU9" s="70" t="n">
        <f aca="false">IFERROR(__xludf.dummyfunction("""COMPUTED_VALUE"""),593948)</f>
        <v>593948</v>
      </c>
      <c r="AV9" s="70" t="n">
        <f aca="false">IFERROR(__xludf.dummyfunction("""COMPUTED_VALUE"""),313368)</f>
        <v>313368</v>
      </c>
      <c r="AW9" s="70" t="n">
        <f aca="false">IFERROR(__xludf.dummyfunction("""COMPUTED_VALUE"""),3122108)</f>
        <v>3122108</v>
      </c>
      <c r="AX9" s="70" t="n">
        <f aca="false">IFERROR(__xludf.dummyfunction("""COMPUTED_VALUE"""),2520266)</f>
        <v>2520266</v>
      </c>
      <c r="AY9" s="70" t="n">
        <f aca="false">IFERROR(__xludf.dummyfunction("""COMPUTED_VALUE"""),851640)</f>
        <v>851640</v>
      </c>
      <c r="AZ9" s="70" t="n">
        <f aca="false">IFERROR(__xludf.dummyfunction("""COMPUTED_VALUE"""),2181142)</f>
        <v>2181142</v>
      </c>
      <c r="BA9" s="70" t="n">
        <f aca="false">IFERROR(__xludf.dummyfunction("""COMPUTED_VALUE"""),238366)</f>
        <v>238366</v>
      </c>
    </row>
    <row r="10" customFormat="false" ht="15.75" hidden="false" customHeight="false" outlineLevel="0" collapsed="false">
      <c r="A10" s="71" t="str">
        <f aca="false">IFERROR(__xludf.dummyfunction("""COMPUTED_VALUE"""),"street_post_direction")</f>
        <v>street_post_direction</v>
      </c>
      <c r="B10" s="72" t="n">
        <f aca="false">IFERROR(__xludf.dummyfunction("""COMPUTED_VALUE"""),7113383)</f>
        <v>7113383</v>
      </c>
      <c r="C10" s="73" t="n">
        <f aca="false">IFERROR(__xludf.dummyfunction("""COMPUTED_VALUE"""),276999)</f>
        <v>276999</v>
      </c>
      <c r="D10" s="70" t="n">
        <f aca="false">IFERROR(__xludf.dummyfunction("""COMPUTED_VALUE"""),1131)</f>
        <v>1131</v>
      </c>
      <c r="E10" s="70" t="n">
        <f aca="false">IFERROR(__xludf.dummyfunction("""COMPUTED_VALUE"""),20640)</f>
        <v>20640</v>
      </c>
      <c r="F10" s="70" t="n">
        <f aca="false">IFERROR(__xludf.dummyfunction("""COMPUTED_VALUE"""),49432)</f>
        <v>49432</v>
      </c>
      <c r="G10" s="70" t="n">
        <f aca="false">IFERROR(__xludf.dummyfunction("""COMPUTED_VALUE"""),57476)</f>
        <v>57476</v>
      </c>
      <c r="H10" s="70" t="n">
        <f aca="false">IFERROR(__xludf.dummyfunction("""COMPUTED_VALUE"""),21132)</f>
        <v>21132</v>
      </c>
      <c r="I10" s="70" t="n">
        <f aca="false">IFERROR(__xludf.dummyfunction("""COMPUTED_VALUE"""),10607)</f>
        <v>10607</v>
      </c>
      <c r="J10" s="70" t="n">
        <f aca="false">IFERROR(__xludf.dummyfunction("""COMPUTED_VALUE"""),4767)</f>
        <v>4767</v>
      </c>
      <c r="K10" s="70" t="n">
        <f aca="false">IFERROR(__xludf.dummyfunction("""COMPUTED_VALUE"""),182198)</f>
        <v>182198</v>
      </c>
      <c r="L10" s="70" t="n">
        <f aca="false">IFERROR(__xludf.dummyfunction("""COMPUTED_VALUE"""),615605)</f>
        <v>615605</v>
      </c>
      <c r="M10" s="70" t="n">
        <f aca="false">IFERROR(__xludf.dummyfunction("""COMPUTED_VALUE"""),625115)</f>
        <v>625115</v>
      </c>
      <c r="N10" s="70" t="n">
        <f aca="false">IFERROR(__xludf.dummyfunction("""COMPUTED_VALUE"""),478)</f>
        <v>478</v>
      </c>
      <c r="O10" s="70" t="n">
        <f aca="false">IFERROR(__xludf.dummyfunction("""COMPUTED_VALUE"""),78280)</f>
        <v>78280</v>
      </c>
      <c r="P10" s="70" t="n">
        <f aca="false">IFERROR(__xludf.dummyfunction("""COMPUTED_VALUE"""),51810)</f>
        <v>51810</v>
      </c>
      <c r="Q10" s="70" t="n">
        <f aca="false">IFERROR(__xludf.dummyfunction("""COMPUTED_VALUE"""),285977)</f>
        <v>285977</v>
      </c>
      <c r="R10" s="70" t="n">
        <f aca="false">IFERROR(__xludf.dummyfunction("""COMPUTED_VALUE"""),170663)</f>
        <v>170663</v>
      </c>
      <c r="S10" s="70" t="n">
        <f aca="false">IFERROR(__xludf.dummyfunction("""COMPUTED_VALUE"""),20921)</f>
        <v>20921</v>
      </c>
      <c r="T10" s="70" t="n">
        <f aca="false">IFERROR(__xludf.dummyfunction("""COMPUTED_VALUE"""),34443)</f>
        <v>34443</v>
      </c>
      <c r="U10" s="70" t="n">
        <f aca="false">IFERROR(__xludf.dummyfunction("""COMPUTED_VALUE"""),18492)</f>
        <v>18492</v>
      </c>
      <c r="V10" s="70" t="n">
        <f aca="false">IFERROR(__xludf.dummyfunction("""COMPUTED_VALUE"""),3248)</f>
        <v>3248</v>
      </c>
      <c r="W10" s="70" t="n">
        <f aca="false">IFERROR(__xludf.dummyfunction("""COMPUTED_VALUE"""),26579)</f>
        <v>26579</v>
      </c>
      <c r="X10" s="70" t="n">
        <f aca="false">IFERROR(__xludf.dummyfunction("""COMPUTED_VALUE"""),7443)</f>
        <v>7443</v>
      </c>
      <c r="Y10" s="70" t="n">
        <f aca="false">IFERROR(__xludf.dummyfunction("""COMPUTED_VALUE"""),246775)</f>
        <v>246775</v>
      </c>
      <c r="Z10" s="70" t="n">
        <f aca="false">IFERROR(__xludf.dummyfunction("""COMPUTED_VALUE"""),896616)</f>
        <v>896616</v>
      </c>
      <c r="AA10" s="70" t="n">
        <f aca="false">IFERROR(__xludf.dummyfunction("""COMPUTED_VALUE"""),64656)</f>
        <v>64656</v>
      </c>
      <c r="AB10" s="70" t="n">
        <f aca="false">IFERROR(__xludf.dummyfunction("""COMPUTED_VALUE"""),31695)</f>
        <v>31695</v>
      </c>
      <c r="AC10" s="70" t="n">
        <f aca="false">IFERROR(__xludf.dummyfunction("""COMPUTED_VALUE"""),61851)</f>
        <v>61851</v>
      </c>
      <c r="AD10" s="70" t="n">
        <f aca="false">IFERROR(__xludf.dummyfunction("""COMPUTED_VALUE"""),4740)</f>
        <v>4740</v>
      </c>
      <c r="AE10" s="70" t="n">
        <f aca="false">IFERROR(__xludf.dummyfunction("""COMPUTED_VALUE"""),6971)</f>
        <v>6971</v>
      </c>
      <c r="AF10" s="70" t="n">
        <f aca="false">IFERROR(__xludf.dummyfunction("""COMPUTED_VALUE"""),2901)</f>
        <v>2901</v>
      </c>
      <c r="AG10" s="70" t="n">
        <f aca="false">IFERROR(__xludf.dummyfunction("""COMPUTED_VALUE"""),34902)</f>
        <v>34902</v>
      </c>
      <c r="AH10" s="70" t="n">
        <f aca="false">IFERROR(__xludf.dummyfunction("""COMPUTED_VALUE"""),271777)</f>
        <v>271777</v>
      </c>
      <c r="AI10" s="70" t="n">
        <f aca="false">IFERROR(__xludf.dummyfunction("""COMPUTED_VALUE"""),95659)</f>
        <v>95659</v>
      </c>
      <c r="AJ10" s="70" t="n">
        <f aca="false">IFERROR(__xludf.dummyfunction("""COMPUTED_VALUE"""),213972)</f>
        <v>213972</v>
      </c>
      <c r="AK10" s="70" t="n">
        <f aca="false">IFERROR(__xludf.dummyfunction("""COMPUTED_VALUE"""),136829)</f>
        <v>136829</v>
      </c>
      <c r="AL10" s="70" t="n">
        <f aca="false">IFERROR(__xludf.dummyfunction("""COMPUTED_VALUE"""),293388)</f>
        <v>293388</v>
      </c>
      <c r="AM10" s="70" t="n">
        <f aca="false">IFERROR(__xludf.dummyfunction("""COMPUTED_VALUE"""),75745)</f>
        <v>75745</v>
      </c>
      <c r="AN10" s="70" t="n">
        <f aca="false">IFERROR(__xludf.dummyfunction("""COMPUTED_VALUE"""),118133)</f>
        <v>118133</v>
      </c>
      <c r="AO10" s="70" t="n">
        <f aca="false">IFERROR(__xludf.dummyfunction("""COMPUTED_VALUE"""),29077)</f>
        <v>29077</v>
      </c>
      <c r="AP10" s="70" t="n">
        <f aca="false">IFERROR(__xludf.dummyfunction("""COMPUTED_VALUE"""),1175)</f>
        <v>1175</v>
      </c>
      <c r="AQ10" s="70" t="n">
        <f aca="false">IFERROR(__xludf.dummyfunction("""COMPUTED_VALUE"""),44416)</f>
        <v>44416</v>
      </c>
      <c r="AR10" s="70" t="n">
        <f aca="false">IFERROR(__xludf.dummyfunction("""COMPUTED_VALUE"""),25886)</f>
        <v>25886</v>
      </c>
      <c r="AS10" s="70" t="n">
        <f aca="false">IFERROR(__xludf.dummyfunction("""COMPUTED_VALUE"""),128790)</f>
        <v>128790</v>
      </c>
      <c r="AT10" s="70" t="n">
        <f aca="false">IFERROR(__xludf.dummyfunction("""COMPUTED_VALUE"""),159448)</f>
        <v>159448</v>
      </c>
      <c r="AU10" s="70" t="n">
        <f aca="false">IFERROR(__xludf.dummyfunction("""COMPUTED_VALUE"""),452167)</f>
        <v>452167</v>
      </c>
      <c r="AV10" s="70" t="n">
        <f aca="false">IFERROR(__xludf.dummyfunction("""COMPUTED_VALUE"""),7157)</f>
        <v>7157</v>
      </c>
      <c r="AW10" s="70" t="n">
        <f aca="false">IFERROR(__xludf.dummyfunction("""COMPUTED_VALUE"""),94112)</f>
        <v>94112</v>
      </c>
      <c r="AX10" s="70" t="n">
        <f aca="false">IFERROR(__xludf.dummyfunction("""COMPUTED_VALUE"""),974258)</f>
        <v>974258</v>
      </c>
      <c r="AY10" s="70" t="n">
        <f aca="false">IFERROR(__xludf.dummyfunction("""COMPUTED_VALUE"""),11296)</f>
        <v>11296</v>
      </c>
      <c r="AZ10" s="70" t="n">
        <f aca="false">IFERROR(__xludf.dummyfunction("""COMPUTED_VALUE"""),61650)</f>
        <v>61650</v>
      </c>
      <c r="BA10" s="70" t="n">
        <f aca="false">IFERROR(__xludf.dummyfunction("""COMPUTED_VALUE"""),3889)</f>
        <v>3889</v>
      </c>
    </row>
    <row r="11" customFormat="false" ht="15.75" hidden="false" customHeight="false" outlineLevel="0" collapsed="false">
      <c r="A11" s="71" t="str">
        <f aca="false">IFERROR(__xludf.dummyfunction("""COMPUTED_VALUE"""),"unit_type")</f>
        <v>unit_type</v>
      </c>
      <c r="B11" s="72" t="n">
        <f aca="false">IFERROR(__xludf.dummyfunction("""COMPUTED_VALUE"""),9127615)</f>
        <v>9127615</v>
      </c>
      <c r="C11" s="73" t="n">
        <f aca="false">IFERROR(__xludf.dummyfunction("""COMPUTED_VALUE"""),78668)</f>
        <v>78668</v>
      </c>
      <c r="D11" s="70" t="n">
        <f aca="false">IFERROR(__xludf.dummyfunction("""COMPUTED_VALUE"""),27000)</f>
        <v>27000</v>
      </c>
      <c r="E11" s="70" t="n">
        <f aca="false">IFERROR(__xludf.dummyfunction("""COMPUTED_VALUE"""),211447)</f>
        <v>211447</v>
      </c>
      <c r="F11" s="70" t="n">
        <f aca="false">IFERROR(__xludf.dummyfunction("""COMPUTED_VALUE"""),20459)</f>
        <v>20459</v>
      </c>
      <c r="G11" s="70" t="n">
        <f aca="false">IFERROR(__xludf.dummyfunction("""COMPUTED_VALUE"""),1039069)</f>
        <v>1039069</v>
      </c>
      <c r="H11" s="70" t="n">
        <f aca="false">IFERROR(__xludf.dummyfunction("""COMPUTED_VALUE"""),348647)</f>
        <v>348647</v>
      </c>
      <c r="I11" s="70" t="n">
        <f aca="false">IFERROR(__xludf.dummyfunction("""COMPUTED_VALUE"""),129507)</f>
        <v>129507</v>
      </c>
      <c r="J11" s="70" t="n">
        <f aca="false">IFERROR(__xludf.dummyfunction("""COMPUTED_VALUE"""),22937)</f>
        <v>22937</v>
      </c>
      <c r="K11" s="70" t="n">
        <f aca="false">IFERROR(__xludf.dummyfunction("""COMPUTED_VALUE"""),67376)</f>
        <v>67376</v>
      </c>
      <c r="L11" s="70" t="n">
        <f aca="false">IFERROR(__xludf.dummyfunction("""COMPUTED_VALUE"""),1565643)</f>
        <v>1565643</v>
      </c>
      <c r="M11" s="70" t="n">
        <f aca="false">IFERROR(__xludf.dummyfunction("""COMPUTED_VALUE"""),162003)</f>
        <v>162003</v>
      </c>
      <c r="N11" s="70" t="n">
        <f aca="false">IFERROR(__xludf.dummyfunction("""COMPUTED_VALUE"""),252485)</f>
        <v>252485</v>
      </c>
      <c r="O11" s="70" t="n">
        <f aca="false">IFERROR(__xludf.dummyfunction("""COMPUTED_VALUE"""),29731)</f>
        <v>29731</v>
      </c>
      <c r="P11" s="70" t="n">
        <f aca="false">IFERROR(__xludf.dummyfunction("""COMPUTED_VALUE"""),555760)</f>
        <v>555760</v>
      </c>
      <c r="Q11" s="70" t="n">
        <f aca="false">IFERROR(__xludf.dummyfunction("""COMPUTED_VALUE"""),18662)</f>
        <v>18662</v>
      </c>
      <c r="R11" s="70" t="n">
        <f aca="false">IFERROR(__xludf.dummyfunction("""COMPUTED_VALUE"""),89891)</f>
        <v>89891</v>
      </c>
      <c r="S11" s="70" t="n">
        <f aca="false">IFERROR(__xludf.dummyfunction("""COMPUTED_VALUE"""),21379)</f>
        <v>21379</v>
      </c>
      <c r="T11" s="70" t="n">
        <f aca="false">IFERROR(__xludf.dummyfunction("""COMPUTED_VALUE"""),39852)</f>
        <v>39852</v>
      </c>
      <c r="U11" s="70" t="n">
        <f aca="false">IFERROR(__xludf.dummyfunction("""COMPUTED_VALUE"""),71087)</f>
        <v>71087</v>
      </c>
      <c r="V11" s="70" t="n">
        <f aca="false">IFERROR(__xludf.dummyfunction("""COMPUTED_VALUE"""),28487)</f>
        <v>28487</v>
      </c>
      <c r="W11" s="70" t="n">
        <f aca="false">IFERROR(__xludf.dummyfunction("""COMPUTED_VALUE"""),176204)</f>
        <v>176204</v>
      </c>
      <c r="X11" s="70" t="n">
        <f aca="false">IFERROR(__xludf.dummyfunction("""COMPUTED_VALUE"""),300361)</f>
        <v>300361</v>
      </c>
      <c r="Y11" s="70" t="n">
        <f aca="false">IFERROR(__xludf.dummyfunction("""COMPUTED_VALUE"""),111692)</f>
        <v>111692</v>
      </c>
      <c r="Z11" s="70" t="n">
        <f aca="false">IFERROR(__xludf.dummyfunction("""COMPUTED_VALUE"""),120310)</f>
        <v>120310</v>
      </c>
      <c r="AA11" s="70" t="n">
        <f aca="false">IFERROR(__xludf.dummyfunction("""COMPUTED_VALUE"""),21068)</f>
        <v>21068</v>
      </c>
      <c r="AB11" s="70" t="n">
        <f aca="false">IFERROR(__xludf.dummyfunction("""COMPUTED_VALUE"""),71444)</f>
        <v>71444</v>
      </c>
      <c r="AC11" s="70" t="n">
        <f aca="false">IFERROR(__xludf.dummyfunction("""COMPUTED_VALUE"""),29027)</f>
        <v>29027</v>
      </c>
      <c r="AD11" s="70" t="n">
        <f aca="false">IFERROR(__xludf.dummyfunction("""COMPUTED_VALUE"""),19967)</f>
        <v>19967</v>
      </c>
      <c r="AE11" s="70" t="n">
        <f aca="false">IFERROR(__xludf.dummyfunction("""COMPUTED_VALUE"""),128865)</f>
        <v>128865</v>
      </c>
      <c r="AF11" s="70" t="n">
        <f aca="false">IFERROR(__xludf.dummyfunction("""COMPUTED_VALUE"""),72282)</f>
        <v>72282</v>
      </c>
      <c r="AG11" s="70" t="n">
        <f aca="false">IFERROR(__xludf.dummyfunction("""COMPUTED_VALUE"""),251297)</f>
        <v>251297</v>
      </c>
      <c r="AH11" s="70" t="n">
        <f aca="false">IFERROR(__xludf.dummyfunction("""COMPUTED_VALUE"""),52394)</f>
        <v>52394</v>
      </c>
      <c r="AI11" s="70" t="n">
        <f aca="false">IFERROR(__xludf.dummyfunction("""COMPUTED_VALUE"""),933176)</f>
        <v>933176</v>
      </c>
      <c r="AJ11" s="70" t="n">
        <f aca="false">IFERROR(__xludf.dummyfunction("""COMPUTED_VALUE"""),138436)</f>
        <v>138436</v>
      </c>
      <c r="AK11" s="70" t="n">
        <f aca="false">IFERROR(__xludf.dummyfunction("""COMPUTED_VALUE"""),11517)</f>
        <v>11517</v>
      </c>
      <c r="AL11" s="70" t="n">
        <f aca="false">IFERROR(__xludf.dummyfunction("""COMPUTED_VALUE"""),147752)</f>
        <v>147752</v>
      </c>
      <c r="AM11" s="70" t="n">
        <f aca="false">IFERROR(__xludf.dummyfunction("""COMPUTED_VALUE"""),33968)</f>
        <v>33968</v>
      </c>
      <c r="AN11" s="70" t="n">
        <f aca="false">IFERROR(__xludf.dummyfunction("""COMPUTED_VALUE"""),119054)</f>
        <v>119054</v>
      </c>
      <c r="AO11" s="70" t="n">
        <f aca="false">IFERROR(__xludf.dummyfunction("""COMPUTED_VALUE"""),118224)</f>
        <v>118224</v>
      </c>
      <c r="AP11" s="70" t="n">
        <f aca="false">IFERROR(__xludf.dummyfunction("""COMPUTED_VALUE"""),28203)</f>
        <v>28203</v>
      </c>
      <c r="AQ11" s="70" t="n">
        <f aca="false">IFERROR(__xludf.dummyfunction("""COMPUTED_VALUE"""),161883)</f>
        <v>161883</v>
      </c>
      <c r="AR11" s="70" t="n">
        <f aca="false">IFERROR(__xludf.dummyfunction("""COMPUTED_VALUE"""),10506)</f>
        <v>10506</v>
      </c>
      <c r="AS11" s="70" t="n">
        <f aca="false">IFERROR(__xludf.dummyfunction("""COMPUTED_VALUE"""),106341)</f>
        <v>106341</v>
      </c>
      <c r="AT11" s="70" t="n">
        <f aca="false">IFERROR(__xludf.dummyfunction("""COMPUTED_VALUE"""),515836)</f>
        <v>515836</v>
      </c>
      <c r="AU11" s="70" t="n">
        <f aca="false">IFERROR(__xludf.dummyfunction("""COMPUTED_VALUE"""),93830)</f>
        <v>93830</v>
      </c>
      <c r="AV11" s="70" t="n">
        <f aca="false">IFERROR(__xludf.dummyfunction("""COMPUTED_VALUE"""),21439)</f>
        <v>21439</v>
      </c>
      <c r="AW11" s="70" t="n">
        <f aca="false">IFERROR(__xludf.dummyfunction("""COMPUTED_VALUE"""),174864)</f>
        <v>174864</v>
      </c>
      <c r="AX11" s="70" t="n">
        <f aca="false">IFERROR(__xludf.dummyfunction("""COMPUTED_VALUE"""),236252)</f>
        <v>236252</v>
      </c>
      <c r="AY11" s="70" t="n">
        <f aca="false">IFERROR(__xludf.dummyfunction("""COMPUTED_VALUE"""),17754)</f>
        <v>17754</v>
      </c>
      <c r="AZ11" s="70" t="n">
        <f aca="false">IFERROR(__xludf.dummyfunction("""COMPUTED_VALUE"""),100988)</f>
        <v>100988</v>
      </c>
      <c r="BA11" s="70" t="n">
        <f aca="false">IFERROR(__xludf.dummyfunction("""COMPUTED_VALUE"""),22182)</f>
        <v>22182</v>
      </c>
    </row>
    <row r="12" customFormat="false" ht="15.75" hidden="false" customHeight="false" outlineLevel="0" collapsed="false">
      <c r="A12" s="71" t="str">
        <f aca="false">IFERROR(__xludf.dummyfunction("""COMPUTED_VALUE"""),"unit_number")</f>
        <v>unit_number</v>
      </c>
      <c r="B12" s="72" t="n">
        <f aca="false">IFERROR(__xludf.dummyfunction("""COMPUTED_VALUE"""),9118982)</f>
        <v>9118982</v>
      </c>
      <c r="C12" s="73" t="n">
        <f aca="false">IFERROR(__xludf.dummyfunction("""COMPUTED_VALUE"""),78593)</f>
        <v>78593</v>
      </c>
      <c r="D12" s="70" t="n">
        <f aca="false">IFERROR(__xludf.dummyfunction("""COMPUTED_VALUE"""),26995)</f>
        <v>26995</v>
      </c>
      <c r="E12" s="70" t="n">
        <f aca="false">IFERROR(__xludf.dummyfunction("""COMPUTED_VALUE"""),211411)</f>
        <v>211411</v>
      </c>
      <c r="F12" s="70" t="n">
        <f aca="false">IFERROR(__xludf.dummyfunction("""COMPUTED_VALUE"""),20339)</f>
        <v>20339</v>
      </c>
      <c r="G12" s="70" t="n">
        <f aca="false">IFERROR(__xludf.dummyfunction("""COMPUTED_VALUE"""),1038960)</f>
        <v>1038960</v>
      </c>
      <c r="H12" s="70" t="n">
        <f aca="false">IFERROR(__xludf.dummyfunction("""COMPUTED_VALUE"""),348624)</f>
        <v>348624</v>
      </c>
      <c r="I12" s="70" t="n">
        <f aca="false">IFERROR(__xludf.dummyfunction("""COMPUTED_VALUE"""),129460)</f>
        <v>129460</v>
      </c>
      <c r="J12" s="70" t="n">
        <f aca="false">IFERROR(__xludf.dummyfunction("""COMPUTED_VALUE"""),22935)</f>
        <v>22935</v>
      </c>
      <c r="K12" s="70" t="n">
        <f aca="false">IFERROR(__xludf.dummyfunction("""COMPUTED_VALUE"""),67362)</f>
        <v>67362</v>
      </c>
      <c r="L12" s="70" t="n">
        <f aca="false">IFERROR(__xludf.dummyfunction("""COMPUTED_VALUE"""),1565357)</f>
        <v>1565357</v>
      </c>
      <c r="M12" s="70" t="n">
        <f aca="false">IFERROR(__xludf.dummyfunction("""COMPUTED_VALUE"""),161911)</f>
        <v>161911</v>
      </c>
      <c r="N12" s="70" t="n">
        <f aca="false">IFERROR(__xludf.dummyfunction("""COMPUTED_VALUE"""),252456)</f>
        <v>252456</v>
      </c>
      <c r="O12" s="70" t="n">
        <f aca="false">IFERROR(__xludf.dummyfunction("""COMPUTED_VALUE"""),29720)</f>
        <v>29720</v>
      </c>
      <c r="P12" s="70" t="n">
        <f aca="false">IFERROR(__xludf.dummyfunction("""COMPUTED_VALUE"""),555703)</f>
        <v>555703</v>
      </c>
      <c r="Q12" s="70" t="n">
        <f aca="false">IFERROR(__xludf.dummyfunction("""COMPUTED_VALUE"""),18631)</f>
        <v>18631</v>
      </c>
      <c r="R12" s="70" t="n">
        <f aca="false">IFERROR(__xludf.dummyfunction("""COMPUTED_VALUE"""),89872)</f>
        <v>89872</v>
      </c>
      <c r="S12" s="70" t="n">
        <f aca="false">IFERROR(__xludf.dummyfunction("""COMPUTED_VALUE"""),21372)</f>
        <v>21372</v>
      </c>
      <c r="T12" s="70" t="n">
        <f aca="false">IFERROR(__xludf.dummyfunction("""COMPUTED_VALUE"""),39517)</f>
        <v>39517</v>
      </c>
      <c r="U12" s="70" t="n">
        <f aca="false">IFERROR(__xludf.dummyfunction("""COMPUTED_VALUE"""),71039)</f>
        <v>71039</v>
      </c>
      <c r="V12" s="70" t="n">
        <f aca="false">IFERROR(__xludf.dummyfunction("""COMPUTED_VALUE"""),28487)</f>
        <v>28487</v>
      </c>
      <c r="W12" s="70" t="n">
        <f aca="false">IFERROR(__xludf.dummyfunction("""COMPUTED_VALUE"""),176170)</f>
        <v>176170</v>
      </c>
      <c r="X12" s="70" t="n">
        <f aca="false">IFERROR(__xludf.dummyfunction("""COMPUTED_VALUE"""),300265)</f>
        <v>300265</v>
      </c>
      <c r="Y12" s="70" t="n">
        <f aca="false">IFERROR(__xludf.dummyfunction("""COMPUTED_VALUE"""),111637)</f>
        <v>111637</v>
      </c>
      <c r="Z12" s="70" t="n">
        <f aca="false">IFERROR(__xludf.dummyfunction("""COMPUTED_VALUE"""),120291)</f>
        <v>120291</v>
      </c>
      <c r="AA12" s="70" t="n">
        <f aca="false">IFERROR(__xludf.dummyfunction("""COMPUTED_VALUE"""),21019)</f>
        <v>21019</v>
      </c>
      <c r="AB12" s="70" t="n">
        <f aca="false">IFERROR(__xludf.dummyfunction("""COMPUTED_VALUE"""),71198)</f>
        <v>71198</v>
      </c>
      <c r="AC12" s="70" t="n">
        <f aca="false">IFERROR(__xludf.dummyfunction("""COMPUTED_VALUE"""),29007)</f>
        <v>29007</v>
      </c>
      <c r="AD12" s="70" t="n">
        <f aca="false">IFERROR(__xludf.dummyfunction("""COMPUTED_VALUE"""),19958)</f>
        <v>19958</v>
      </c>
      <c r="AE12" s="70" t="n">
        <f aca="false">IFERROR(__xludf.dummyfunction("""COMPUTED_VALUE"""),128847)</f>
        <v>128847</v>
      </c>
      <c r="AF12" s="70" t="n">
        <f aca="false">IFERROR(__xludf.dummyfunction("""COMPUTED_VALUE"""),72250)</f>
        <v>72250</v>
      </c>
      <c r="AG12" s="70" t="n">
        <f aca="false">IFERROR(__xludf.dummyfunction("""COMPUTED_VALUE"""),250638)</f>
        <v>250638</v>
      </c>
      <c r="AH12" s="70" t="n">
        <f aca="false">IFERROR(__xludf.dummyfunction("""COMPUTED_VALUE"""),52371)</f>
        <v>52371</v>
      </c>
      <c r="AI12" s="70" t="n">
        <f aca="false">IFERROR(__xludf.dummyfunction("""COMPUTED_VALUE"""),931786)</f>
        <v>931786</v>
      </c>
      <c r="AJ12" s="70" t="n">
        <f aca="false">IFERROR(__xludf.dummyfunction("""COMPUTED_VALUE"""),137921)</f>
        <v>137921</v>
      </c>
      <c r="AK12" s="70" t="n">
        <f aca="false">IFERROR(__xludf.dummyfunction("""COMPUTED_VALUE"""),11512)</f>
        <v>11512</v>
      </c>
      <c r="AL12" s="70" t="n">
        <f aca="false">IFERROR(__xludf.dummyfunction("""COMPUTED_VALUE"""),147154)</f>
        <v>147154</v>
      </c>
      <c r="AM12" s="70" t="n">
        <f aca="false">IFERROR(__xludf.dummyfunction("""COMPUTED_VALUE"""),33955)</f>
        <v>33955</v>
      </c>
      <c r="AN12" s="70" t="n">
        <f aca="false">IFERROR(__xludf.dummyfunction("""COMPUTED_VALUE"""),119032)</f>
        <v>119032</v>
      </c>
      <c r="AO12" s="70" t="n">
        <f aca="false">IFERROR(__xludf.dummyfunction("""COMPUTED_VALUE"""),116725)</f>
        <v>116725</v>
      </c>
      <c r="AP12" s="70" t="n">
        <f aca="false">IFERROR(__xludf.dummyfunction("""COMPUTED_VALUE"""),28203)</f>
        <v>28203</v>
      </c>
      <c r="AQ12" s="70" t="n">
        <f aca="false">IFERROR(__xludf.dummyfunction("""COMPUTED_VALUE"""),161819)</f>
        <v>161819</v>
      </c>
      <c r="AR12" s="70" t="n">
        <f aca="false">IFERROR(__xludf.dummyfunction("""COMPUTED_VALUE"""),10496)</f>
        <v>10496</v>
      </c>
      <c r="AS12" s="70" t="n">
        <f aca="false">IFERROR(__xludf.dummyfunction("""COMPUTED_VALUE"""),106084)</f>
        <v>106084</v>
      </c>
      <c r="AT12" s="70" t="n">
        <f aca="false">IFERROR(__xludf.dummyfunction("""COMPUTED_VALUE"""),514911)</f>
        <v>514911</v>
      </c>
      <c r="AU12" s="70" t="n">
        <f aca="false">IFERROR(__xludf.dummyfunction("""COMPUTED_VALUE"""),93771)</f>
        <v>93771</v>
      </c>
      <c r="AV12" s="70" t="n">
        <f aca="false">IFERROR(__xludf.dummyfunction("""COMPUTED_VALUE"""),21376)</f>
        <v>21376</v>
      </c>
      <c r="AW12" s="70" t="n">
        <f aca="false">IFERROR(__xludf.dummyfunction("""COMPUTED_VALUE"""),174791)</f>
        <v>174791</v>
      </c>
      <c r="AX12" s="70" t="n">
        <f aca="false">IFERROR(__xludf.dummyfunction("""COMPUTED_VALUE"""),236238)</f>
        <v>236238</v>
      </c>
      <c r="AY12" s="70" t="n">
        <f aca="false">IFERROR(__xludf.dummyfunction("""COMPUTED_VALUE"""),17286)</f>
        <v>17286</v>
      </c>
      <c r="AZ12" s="70" t="n">
        <f aca="false">IFERROR(__xludf.dummyfunction("""COMPUTED_VALUE"""),100939)</f>
        <v>100939</v>
      </c>
      <c r="BA12" s="70" t="n">
        <f aca="false">IFERROR(__xludf.dummyfunction("""COMPUTED_VALUE"""),22179)</f>
        <v>22179</v>
      </c>
    </row>
    <row r="13" customFormat="false" ht="15.75" hidden="false" customHeight="false" outlineLevel="0" collapsed="false">
      <c r="A13" s="71" t="str">
        <f aca="false">IFERROR(__xludf.dummyfunction("""COMPUTED_VALUE"""),"formatted_street_address")</f>
        <v>formatted_street_address</v>
      </c>
      <c r="B13" s="72" t="n">
        <f aca="false">IFERROR(__xludf.dummyfunction("""COMPUTED_VALUE"""),119670273)</f>
        <v>119670273</v>
      </c>
      <c r="C13" s="73" t="n">
        <f aca="false">IFERROR(__xludf.dummyfunction("""COMPUTED_VALUE"""),2139234)</f>
        <v>2139234</v>
      </c>
      <c r="D13" s="70" t="n">
        <f aca="false">IFERROR(__xludf.dummyfunction("""COMPUTED_VALUE"""),249572)</f>
        <v>249572</v>
      </c>
      <c r="E13" s="70" t="n">
        <f aca="false">IFERROR(__xludf.dummyfunction("""COMPUTED_VALUE"""),2455911)</f>
        <v>2455911</v>
      </c>
      <c r="F13" s="70" t="n">
        <f aca="false">IFERROR(__xludf.dummyfunction("""COMPUTED_VALUE"""),1276583)</f>
        <v>1276583</v>
      </c>
      <c r="G13" s="70" t="n">
        <f aca="false">IFERROR(__xludf.dummyfunction("""COMPUTED_VALUE"""),10454916)</f>
        <v>10454916</v>
      </c>
      <c r="H13" s="70" t="n">
        <f aca="false">IFERROR(__xludf.dummyfunction("""COMPUTED_VALUE"""),2495554)</f>
        <v>2495554</v>
      </c>
      <c r="I13" s="70" t="n">
        <f aca="false">IFERROR(__xludf.dummyfunction("""COMPUTED_VALUE"""),1245463)</f>
        <v>1245463</v>
      </c>
      <c r="J13" s="70" t="n">
        <f aca="false">IFERROR(__xludf.dummyfunction("""COMPUTED_VALUE"""),496023)</f>
        <v>496023</v>
      </c>
      <c r="K13" s="70" t="n">
        <f aca="false">IFERROR(__xludf.dummyfunction("""COMPUTED_VALUE"""),182237)</f>
        <v>182237</v>
      </c>
      <c r="L13" s="70" t="n">
        <f aca="false">IFERROR(__xludf.dummyfunction("""COMPUTED_VALUE"""),8358927)</f>
        <v>8358927</v>
      </c>
      <c r="M13" s="70" t="n">
        <f aca="false">IFERROR(__xludf.dummyfunction("""COMPUTED_VALUE"""),4316522)</f>
        <v>4316522</v>
      </c>
      <c r="N13" s="70" t="n">
        <f aca="false">IFERROR(__xludf.dummyfunction("""COMPUTED_VALUE"""),665462)</f>
        <v>665462</v>
      </c>
      <c r="O13" s="70" t="n">
        <f aca="false">IFERROR(__xludf.dummyfunction("""COMPUTED_VALUE"""),747098)</f>
        <v>747098</v>
      </c>
      <c r="P13" s="70" t="n">
        <f aca="false">IFERROR(__xludf.dummyfunction("""COMPUTED_VALUE"""),4409196)</f>
        <v>4409196</v>
      </c>
      <c r="Q13" s="70" t="n">
        <f aca="false">IFERROR(__xludf.dummyfunction("""COMPUTED_VALUE"""),2427166)</f>
        <v>2427166</v>
      </c>
      <c r="R13" s="70" t="n">
        <f aca="false">IFERROR(__xludf.dummyfunction("""COMPUTED_VALUE"""),1493914)</f>
        <v>1493914</v>
      </c>
      <c r="S13" s="70" t="n">
        <f aca="false">IFERROR(__xludf.dummyfunction("""COMPUTED_VALUE"""),1100136)</f>
        <v>1100136</v>
      </c>
      <c r="T13" s="70" t="n">
        <f aca="false">IFERROR(__xludf.dummyfunction("""COMPUTED_VALUE"""),1886656)</f>
        <v>1886656</v>
      </c>
      <c r="U13" s="70" t="n">
        <f aca="false">IFERROR(__xludf.dummyfunction("""COMPUTED_VALUE"""),1785664)</f>
        <v>1785664</v>
      </c>
      <c r="V13" s="70" t="n">
        <f aca="false">IFERROR(__xludf.dummyfunction("""COMPUTED_VALUE"""),633957)</f>
        <v>633957</v>
      </c>
      <c r="W13" s="70" t="n">
        <f aca="false">IFERROR(__xludf.dummyfunction("""COMPUTED_VALUE"""),2241535)</f>
        <v>2241535</v>
      </c>
      <c r="X13" s="70" t="n">
        <f aca="false">IFERROR(__xludf.dummyfunction("""COMPUTED_VALUE"""),2270449)</f>
        <v>2270449</v>
      </c>
      <c r="Y13" s="70" t="n">
        <f aca="false">IFERROR(__xludf.dummyfunction("""COMPUTED_VALUE"""),4141122)</f>
        <v>4141122</v>
      </c>
      <c r="Z13" s="70" t="n">
        <f aca="false">IFERROR(__xludf.dummyfunction("""COMPUTED_VALUE"""),2143952)</f>
        <v>2143952</v>
      </c>
      <c r="AA13" s="70" t="n">
        <f aca="false">IFERROR(__xludf.dummyfunction("""COMPUTED_VALUE"""),1198754)</f>
        <v>1198754</v>
      </c>
      <c r="AB13" s="70" t="n">
        <f aca="false">IFERROR(__xludf.dummyfunction("""COMPUTED_VALUE"""),2430473)</f>
        <v>2430473</v>
      </c>
      <c r="AC13" s="70" t="n">
        <f aca="false">IFERROR(__xludf.dummyfunction("""COMPUTED_VALUE"""),440450)</f>
        <v>440450</v>
      </c>
      <c r="AD13" s="70" t="n">
        <f aca="false">IFERROR(__xludf.dummyfunction("""COMPUTED_VALUE"""),718941)</f>
        <v>718941</v>
      </c>
      <c r="AE13" s="70" t="n">
        <f aca="false">IFERROR(__xludf.dummyfunction("""COMPUTED_VALUE"""),1010105)</f>
        <v>1010105</v>
      </c>
      <c r="AF13" s="70" t="n">
        <f aca="false">IFERROR(__xludf.dummyfunction("""COMPUTED_VALUE"""),596177)</f>
        <v>596177</v>
      </c>
      <c r="AG13" s="70" t="n">
        <f aca="false">IFERROR(__xludf.dummyfunction("""COMPUTED_VALUE"""),2864517)</f>
        <v>2864517</v>
      </c>
      <c r="AH13" s="70" t="n">
        <f aca="false">IFERROR(__xludf.dummyfunction("""COMPUTED_VALUE"""),832863)</f>
        <v>832863</v>
      </c>
      <c r="AI13" s="70" t="n">
        <f aca="false">IFERROR(__xludf.dummyfunction("""COMPUTED_VALUE"""),5808610)</f>
        <v>5808610</v>
      </c>
      <c r="AJ13" s="70" t="n">
        <f aca="false">IFERROR(__xludf.dummyfunction("""COMPUTED_VALUE"""),4548683)</f>
        <v>4548683</v>
      </c>
      <c r="AK13" s="70" t="n">
        <f aca="false">IFERROR(__xludf.dummyfunction("""COMPUTED_VALUE"""),226368)</f>
        <v>226368</v>
      </c>
      <c r="AL13" s="70" t="n">
        <f aca="false">IFERROR(__xludf.dummyfunction("""COMPUTED_VALUE"""),4380656)</f>
        <v>4380656</v>
      </c>
      <c r="AM13" s="70" t="n">
        <f aca="false">IFERROR(__xludf.dummyfunction("""COMPUTED_VALUE"""),1815772)</f>
        <v>1815772</v>
      </c>
      <c r="AN13" s="70" t="n">
        <f aca="false">IFERROR(__xludf.dummyfunction("""COMPUTED_VALUE"""),1572132)</f>
        <v>1572132</v>
      </c>
      <c r="AO13" s="70" t="n">
        <f aca="false">IFERROR(__xludf.dummyfunction("""COMPUTED_VALUE"""),4840024)</f>
        <v>4840024</v>
      </c>
      <c r="AP13" s="70" t="n">
        <f aca="false">IFERROR(__xludf.dummyfunction("""COMPUTED_VALUE"""),370772)</f>
        <v>370772</v>
      </c>
      <c r="AQ13" s="70" t="n">
        <f aca="false">IFERROR(__xludf.dummyfunction("""COMPUTED_VALUE"""),2272687)</f>
        <v>2272687</v>
      </c>
      <c r="AR13" s="70" t="n">
        <f aca="false">IFERROR(__xludf.dummyfunction("""COMPUTED_VALUE"""),314835)</f>
        <v>314835</v>
      </c>
      <c r="AS13" s="70" t="n">
        <f aca="false">IFERROR(__xludf.dummyfunction("""COMPUTED_VALUE"""),3419271)</f>
        <v>3419271</v>
      </c>
      <c r="AT13" s="70" t="n">
        <f aca="false">IFERROR(__xludf.dummyfunction("""COMPUTED_VALUE"""),9605413)</f>
        <v>9605413</v>
      </c>
      <c r="AU13" s="70" t="n">
        <f aca="false">IFERROR(__xludf.dummyfunction("""COMPUTED_VALUE"""),1058467)</f>
        <v>1058467</v>
      </c>
      <c r="AV13" s="70" t="n">
        <f aca="false">IFERROR(__xludf.dummyfunction("""COMPUTED_VALUE"""),343493)</f>
        <v>343493</v>
      </c>
      <c r="AW13" s="70" t="n">
        <f aca="false">IFERROR(__xludf.dummyfunction("""COMPUTED_VALUE"""),3176494)</f>
        <v>3176494</v>
      </c>
      <c r="AX13" s="70" t="n">
        <f aca="false">IFERROR(__xludf.dummyfunction("""COMPUTED_VALUE"""),2565539)</f>
        <v>2565539</v>
      </c>
      <c r="AY13" s="70" t="n">
        <f aca="false">IFERROR(__xludf.dummyfunction("""COMPUTED_VALUE"""),1027051)</f>
        <v>1027051</v>
      </c>
      <c r="AZ13" s="70" t="n">
        <f aca="false">IFERROR(__xludf.dummyfunction("""COMPUTED_VALUE"""),2347080)</f>
        <v>2347080</v>
      </c>
      <c r="BA13" s="70" t="n">
        <f aca="false">IFERROR(__xludf.dummyfunction("""COMPUTED_VALUE"""),264549)</f>
        <v>264549</v>
      </c>
    </row>
    <row r="14" customFormat="false" ht="15.75" hidden="false" customHeight="false" outlineLevel="0" collapsed="false">
      <c r="A14" s="71" t="str">
        <f aca="false">IFERROR(__xludf.dummyfunction("""COMPUTED_VALUE"""),"city")</f>
        <v>city</v>
      </c>
      <c r="B14" s="72" t="n">
        <f aca="false">IFERROR(__xludf.dummyfunction("""COMPUTED_VALUE"""),118501908)</f>
        <v>118501908</v>
      </c>
      <c r="C14" s="73" t="n">
        <f aca="false">IFERROR(__xludf.dummyfunction("""COMPUTED_VALUE"""),2098357)</f>
        <v>2098357</v>
      </c>
      <c r="D14" s="70" t="n">
        <f aca="false">IFERROR(__xludf.dummyfunction("""COMPUTED_VALUE"""),226140)</f>
        <v>226140</v>
      </c>
      <c r="E14" s="70" t="n">
        <f aca="false">IFERROR(__xludf.dummyfunction("""COMPUTED_VALUE"""),2458601)</f>
        <v>2458601</v>
      </c>
      <c r="F14" s="70" t="n">
        <f aca="false">IFERROR(__xludf.dummyfunction("""COMPUTED_VALUE"""),1239053)</f>
        <v>1239053</v>
      </c>
      <c r="G14" s="70" t="n">
        <f aca="false">IFERROR(__xludf.dummyfunction("""COMPUTED_VALUE"""),10519332)</f>
        <v>10519332</v>
      </c>
      <c r="H14" s="70" t="n">
        <f aca="false">IFERROR(__xludf.dummyfunction("""COMPUTED_VALUE"""),2492920)</f>
        <v>2492920</v>
      </c>
      <c r="I14" s="70" t="n">
        <f aca="false">IFERROR(__xludf.dummyfunction("""COMPUTED_VALUE"""),1245528)</f>
        <v>1245528</v>
      </c>
      <c r="J14" s="70" t="n">
        <f aca="false">IFERROR(__xludf.dummyfunction("""COMPUTED_VALUE"""),498064)</f>
        <v>498064</v>
      </c>
      <c r="K14" s="70" t="n">
        <f aca="false">IFERROR(__xludf.dummyfunction("""COMPUTED_VALUE"""),182237)</f>
        <v>182237</v>
      </c>
      <c r="L14" s="70" t="n">
        <f aca="false">IFERROR(__xludf.dummyfunction("""COMPUTED_VALUE"""),8382669)</f>
        <v>8382669</v>
      </c>
      <c r="M14" s="70" t="n">
        <f aca="false">IFERROR(__xludf.dummyfunction("""COMPUTED_VALUE"""),4231149)</f>
        <v>4231149</v>
      </c>
      <c r="N14" s="70" t="n">
        <f aca="false">IFERROR(__xludf.dummyfunction("""COMPUTED_VALUE"""),649878)</f>
        <v>649878</v>
      </c>
      <c r="O14" s="70" t="n">
        <f aca="false">IFERROR(__xludf.dummyfunction("""COMPUTED_VALUE"""),750312)</f>
        <v>750312</v>
      </c>
      <c r="P14" s="70" t="n">
        <f aca="false">IFERROR(__xludf.dummyfunction("""COMPUTED_VALUE"""),4412563)</f>
        <v>4412563</v>
      </c>
      <c r="Q14" s="70" t="n">
        <f aca="false">IFERROR(__xludf.dummyfunction("""COMPUTED_VALUE"""),2430906)</f>
        <v>2430906</v>
      </c>
      <c r="R14" s="70" t="n">
        <f aca="false">IFERROR(__xludf.dummyfunction("""COMPUTED_VALUE"""),1513481)</f>
        <v>1513481</v>
      </c>
      <c r="S14" s="70" t="n">
        <f aca="false">IFERROR(__xludf.dummyfunction("""COMPUTED_VALUE"""),1116082)</f>
        <v>1116082</v>
      </c>
      <c r="T14" s="70" t="n">
        <f aca="false">IFERROR(__xludf.dummyfunction("""COMPUTED_VALUE"""),1786164)</f>
        <v>1786164</v>
      </c>
      <c r="U14" s="70" t="n">
        <f aca="false">IFERROR(__xludf.dummyfunction("""COMPUTED_VALUE"""),1770858)</f>
        <v>1770858</v>
      </c>
      <c r="V14" s="70" t="n">
        <f aca="false">IFERROR(__xludf.dummyfunction("""COMPUTED_VALUE"""),674476)</f>
        <v>674476</v>
      </c>
      <c r="W14" s="70" t="n">
        <f aca="false">IFERROR(__xludf.dummyfunction("""COMPUTED_VALUE"""),2234919)</f>
        <v>2234919</v>
      </c>
      <c r="X14" s="70" t="n">
        <f aca="false">IFERROR(__xludf.dummyfunction("""COMPUTED_VALUE"""),2270288)</f>
        <v>2270288</v>
      </c>
      <c r="Y14" s="70" t="n">
        <f aca="false">IFERROR(__xludf.dummyfunction("""COMPUTED_VALUE"""),4133842)</f>
        <v>4133842</v>
      </c>
      <c r="Z14" s="70" t="n">
        <f aca="false">IFERROR(__xludf.dummyfunction("""COMPUTED_VALUE"""),2168341)</f>
        <v>2168341</v>
      </c>
      <c r="AA14" s="70" t="n">
        <f aca="false">IFERROR(__xludf.dummyfunction("""COMPUTED_VALUE"""),1141359)</f>
        <v>1141359</v>
      </c>
      <c r="AB14" s="70" t="n">
        <f aca="false">IFERROR(__xludf.dummyfunction("""COMPUTED_VALUE"""),2412295)</f>
        <v>2412295</v>
      </c>
      <c r="AC14" s="70" t="n">
        <f aca="false">IFERROR(__xludf.dummyfunction("""COMPUTED_VALUE"""),450980)</f>
        <v>450980</v>
      </c>
      <c r="AD14" s="70" t="n">
        <f aca="false">IFERROR(__xludf.dummyfunction("""COMPUTED_VALUE"""),719228)</f>
        <v>719228</v>
      </c>
      <c r="AE14" s="70" t="n">
        <f aca="false">IFERROR(__xludf.dummyfunction("""COMPUTED_VALUE"""),1010903)</f>
        <v>1010903</v>
      </c>
      <c r="AF14" s="70" t="n">
        <f aca="false">IFERROR(__xludf.dummyfunction("""COMPUTED_VALUE"""),596082)</f>
        <v>596082</v>
      </c>
      <c r="AG14" s="70" t="n">
        <f aca="false">IFERROR(__xludf.dummyfunction("""COMPUTED_VALUE"""),2858538)</f>
        <v>2858538</v>
      </c>
      <c r="AH14" s="70" t="n">
        <f aca="false">IFERROR(__xludf.dummyfunction("""COMPUTED_VALUE"""),815222)</f>
        <v>815222</v>
      </c>
      <c r="AI14" s="70" t="n">
        <f aca="false">IFERROR(__xludf.dummyfunction("""COMPUTED_VALUE"""),5755376)</f>
        <v>5755376</v>
      </c>
      <c r="AJ14" s="70" t="n">
        <f aca="false">IFERROR(__xludf.dummyfunction("""COMPUTED_VALUE"""),4406461)</f>
        <v>4406461</v>
      </c>
      <c r="AK14" s="70" t="n">
        <f aca="false">IFERROR(__xludf.dummyfunction("""COMPUTED_VALUE"""),228212)</f>
        <v>228212</v>
      </c>
      <c r="AL14" s="70" t="n">
        <f aca="false">IFERROR(__xludf.dummyfunction("""COMPUTED_VALUE"""),4308462)</f>
        <v>4308462</v>
      </c>
      <c r="AM14" s="70" t="n">
        <f aca="false">IFERROR(__xludf.dummyfunction("""COMPUTED_VALUE"""),1804528)</f>
        <v>1804528</v>
      </c>
      <c r="AN14" s="70" t="n">
        <f aca="false">IFERROR(__xludf.dummyfunction("""COMPUTED_VALUE"""),1580754)</f>
        <v>1580754</v>
      </c>
      <c r="AO14" s="70" t="n">
        <f aca="false">IFERROR(__xludf.dummyfunction("""COMPUTED_VALUE"""),4787077)</f>
        <v>4787077</v>
      </c>
      <c r="AP14" s="70" t="n">
        <f aca="false">IFERROR(__xludf.dummyfunction("""COMPUTED_VALUE"""),370773)</f>
        <v>370773</v>
      </c>
      <c r="AQ14" s="70" t="n">
        <f aca="false">IFERROR(__xludf.dummyfunction("""COMPUTED_VALUE"""),2240722)</f>
        <v>2240722</v>
      </c>
      <c r="AR14" s="70" t="n">
        <f aca="false">IFERROR(__xludf.dummyfunction("""COMPUTED_VALUE"""),301242)</f>
        <v>301242</v>
      </c>
      <c r="AS14" s="70" t="n">
        <f aca="false">IFERROR(__xludf.dummyfunction("""COMPUTED_VALUE"""),3241135)</f>
        <v>3241135</v>
      </c>
      <c r="AT14" s="70" t="n">
        <f aca="false">IFERROR(__xludf.dummyfunction("""COMPUTED_VALUE"""),9522162)</f>
        <v>9522162</v>
      </c>
      <c r="AU14" s="70" t="n">
        <f aca="false">IFERROR(__xludf.dummyfunction("""COMPUTED_VALUE"""),1055873)</f>
        <v>1055873</v>
      </c>
      <c r="AV14" s="70" t="n">
        <f aca="false">IFERROR(__xludf.dummyfunction("""COMPUTED_VALUE"""),332411)</f>
        <v>332411</v>
      </c>
      <c r="AW14" s="70" t="n">
        <f aca="false">IFERROR(__xludf.dummyfunction("""COMPUTED_VALUE"""),3144264)</f>
        <v>3144264</v>
      </c>
      <c r="AX14" s="70" t="n">
        <f aca="false">IFERROR(__xludf.dummyfunction("""COMPUTED_VALUE"""),2573661)</f>
        <v>2573661</v>
      </c>
      <c r="AY14" s="70" t="n">
        <f aca="false">IFERROR(__xludf.dummyfunction("""COMPUTED_VALUE"""),763768)</f>
        <v>763768</v>
      </c>
      <c r="AZ14" s="70" t="n">
        <f aca="false">IFERROR(__xludf.dummyfunction("""COMPUTED_VALUE"""),2334674)</f>
        <v>2334674</v>
      </c>
      <c r="BA14" s="70" t="n">
        <f aca="false">IFERROR(__xludf.dummyfunction("""COMPUTED_VALUE"""),256738)</f>
        <v>256738</v>
      </c>
    </row>
    <row r="15" customFormat="false" ht="15.75" hidden="false" customHeight="false" outlineLevel="0" collapsed="false">
      <c r="A15" s="71" t="str">
        <f aca="false">IFERROR(__xludf.dummyfunction("""COMPUTED_VALUE"""),"state")</f>
        <v>state</v>
      </c>
      <c r="B15" s="72" t="n">
        <f aca="false">IFERROR(__xludf.dummyfunction("""COMPUTED_VALUE"""),125842162)</f>
        <v>125842162</v>
      </c>
      <c r="C15" s="73" t="n">
        <f aca="false">IFERROR(__xludf.dummyfunction("""COMPUTED_VALUE"""),2564199)</f>
        <v>2564199</v>
      </c>
      <c r="D15" s="70" t="n">
        <f aca="false">IFERROR(__xludf.dummyfunction("""COMPUTED_VALUE"""),826229)</f>
        <v>826229</v>
      </c>
      <c r="E15" s="70" t="n">
        <f aca="false">IFERROR(__xludf.dummyfunction("""COMPUTED_VALUE"""),2509893)</f>
        <v>2509893</v>
      </c>
      <c r="F15" s="70" t="n">
        <f aca="false">IFERROR(__xludf.dummyfunction("""COMPUTED_VALUE"""),1315229)</f>
        <v>1315229</v>
      </c>
      <c r="G15" s="70" t="n">
        <f aca="false">IFERROR(__xludf.dummyfunction("""COMPUTED_VALUE"""),10677823)</f>
        <v>10677823</v>
      </c>
      <c r="H15" s="70" t="n">
        <f aca="false">IFERROR(__xludf.dummyfunction("""COMPUTED_VALUE"""),2546718)</f>
        <v>2546718</v>
      </c>
      <c r="I15" s="70" t="n">
        <f aca="false">IFERROR(__xludf.dummyfunction("""COMPUTED_VALUE"""),1245562)</f>
        <v>1245562</v>
      </c>
      <c r="J15" s="70" t="n">
        <f aca="false">IFERROR(__xludf.dummyfunction("""COMPUTED_VALUE"""),530175)</f>
        <v>530175</v>
      </c>
      <c r="K15" s="70" t="n">
        <f aca="false">IFERROR(__xludf.dummyfunction("""COMPUTED_VALUE"""),182248)</f>
        <v>182248</v>
      </c>
      <c r="L15" s="70" t="n">
        <f aca="false">IFERROR(__xludf.dummyfunction("""COMPUTED_VALUE"""),8417712)</f>
        <v>8417712</v>
      </c>
      <c r="M15" s="70" t="n">
        <f aca="false">IFERROR(__xludf.dummyfunction("""COMPUTED_VALUE"""),4424449)</f>
        <v>4424449</v>
      </c>
      <c r="N15" s="70" t="n">
        <f aca="false">IFERROR(__xludf.dummyfunction("""COMPUTED_VALUE"""),670067)</f>
        <v>670067</v>
      </c>
      <c r="O15" s="70" t="n">
        <f aca="false">IFERROR(__xludf.dummyfunction("""COMPUTED_VALUE"""),841049)</f>
        <v>841049</v>
      </c>
      <c r="P15" s="70" t="n">
        <f aca="false">IFERROR(__xludf.dummyfunction("""COMPUTED_VALUE"""),4516217)</f>
        <v>4516217</v>
      </c>
      <c r="Q15" s="70" t="n">
        <f aca="false">IFERROR(__xludf.dummyfunction("""COMPUTED_VALUE"""),2433165)</f>
        <v>2433165</v>
      </c>
      <c r="R15" s="70" t="n">
        <f aca="false">IFERROR(__xludf.dummyfunction("""COMPUTED_VALUE"""),1710017)</f>
        <v>1710017</v>
      </c>
      <c r="S15" s="70" t="n">
        <f aca="false">IFERROR(__xludf.dummyfunction("""COMPUTED_VALUE"""),1141858)</f>
        <v>1141858</v>
      </c>
      <c r="T15" s="70" t="n">
        <f aca="false">IFERROR(__xludf.dummyfunction("""COMPUTED_VALUE"""),2064428)</f>
        <v>2064428</v>
      </c>
      <c r="U15" s="70" t="n">
        <f aca="false">IFERROR(__xludf.dummyfunction("""COMPUTED_VALUE"""),1893823)</f>
        <v>1893823</v>
      </c>
      <c r="V15" s="70" t="n">
        <f aca="false">IFERROR(__xludf.dummyfunction("""COMPUTED_VALUE"""),685301)</f>
        <v>685301</v>
      </c>
      <c r="W15" s="70" t="n">
        <f aca="false">IFERROR(__xludf.dummyfunction("""COMPUTED_VALUE"""),2249569)</f>
        <v>2249569</v>
      </c>
      <c r="X15" s="70" t="n">
        <f aca="false">IFERROR(__xludf.dummyfunction("""COMPUTED_VALUE"""),2270540)</f>
        <v>2270540</v>
      </c>
      <c r="Y15" s="70" t="n">
        <f aca="false">IFERROR(__xludf.dummyfunction("""COMPUTED_VALUE"""),4271389)</f>
        <v>4271389</v>
      </c>
      <c r="Z15" s="70" t="n">
        <f aca="false">IFERROR(__xludf.dummyfunction("""COMPUTED_VALUE"""),2372898)</f>
        <v>2372898</v>
      </c>
      <c r="AA15" s="70" t="n">
        <f aca="false">IFERROR(__xludf.dummyfunction("""COMPUTED_VALUE"""),1541615)</f>
        <v>1541615</v>
      </c>
      <c r="AB15" s="70" t="n">
        <f aca="false">IFERROR(__xludf.dummyfunction("""COMPUTED_VALUE"""),2786034)</f>
        <v>2786034</v>
      </c>
      <c r="AC15" s="70" t="n">
        <f aca="false">IFERROR(__xludf.dummyfunction("""COMPUTED_VALUE"""),481360)</f>
        <v>481360</v>
      </c>
      <c r="AD15" s="70" t="n">
        <f aca="false">IFERROR(__xludf.dummyfunction("""COMPUTED_VALUE"""),785431)</f>
        <v>785431</v>
      </c>
      <c r="AE15" s="70" t="n">
        <f aca="false">IFERROR(__xludf.dummyfunction("""COMPUTED_VALUE"""),1017843)</f>
        <v>1017843</v>
      </c>
      <c r="AF15" s="70" t="n">
        <f aca="false">IFERROR(__xludf.dummyfunction("""COMPUTED_VALUE"""),596544)</f>
        <v>596544</v>
      </c>
      <c r="AG15" s="70" t="n">
        <f aca="false">IFERROR(__xludf.dummyfunction("""COMPUTED_VALUE"""),2878229)</f>
        <v>2878229</v>
      </c>
      <c r="AH15" s="70" t="n">
        <f aca="false">IFERROR(__xludf.dummyfunction("""COMPUTED_VALUE"""),1128724)</f>
        <v>1128724</v>
      </c>
      <c r="AI15" s="70" t="n">
        <f aca="false">IFERROR(__xludf.dummyfunction("""COMPUTED_VALUE"""),5814251)</f>
        <v>5814251</v>
      </c>
      <c r="AJ15" s="70" t="n">
        <f aca="false">IFERROR(__xludf.dummyfunction("""COMPUTED_VALUE"""),4696305)</f>
        <v>4696305</v>
      </c>
      <c r="AK15" s="70" t="n">
        <f aca="false">IFERROR(__xludf.dummyfunction("""COMPUTED_VALUE"""),297148)</f>
        <v>297148</v>
      </c>
      <c r="AL15" s="70" t="n">
        <f aca="false">IFERROR(__xludf.dummyfunction("""COMPUTED_VALUE"""),4415608)</f>
        <v>4415608</v>
      </c>
      <c r="AM15" s="70" t="n">
        <f aca="false">IFERROR(__xludf.dummyfunction("""COMPUTED_VALUE"""),2159170)</f>
        <v>2159170</v>
      </c>
      <c r="AN15" s="70" t="n">
        <f aca="false">IFERROR(__xludf.dummyfunction("""COMPUTED_VALUE"""),1658441)</f>
        <v>1658441</v>
      </c>
      <c r="AO15" s="70" t="n">
        <f aca="false">IFERROR(__xludf.dummyfunction("""COMPUTED_VALUE"""),5032928)</f>
        <v>5032928</v>
      </c>
      <c r="AP15" s="70" t="n">
        <f aca="false">IFERROR(__xludf.dummyfunction("""COMPUTED_VALUE"""),370776)</f>
        <v>370776</v>
      </c>
      <c r="AQ15" s="70" t="n">
        <f aca="false">IFERROR(__xludf.dummyfunction("""COMPUTED_VALUE"""),2544626)</f>
        <v>2544626</v>
      </c>
      <c r="AR15" s="70" t="n">
        <f aca="false">IFERROR(__xludf.dummyfunction("""COMPUTED_VALUE"""),360407)</f>
        <v>360407</v>
      </c>
      <c r="AS15" s="70" t="n">
        <f aca="false">IFERROR(__xludf.dummyfunction("""COMPUTED_VALUE"""),3434022)</f>
        <v>3434022</v>
      </c>
      <c r="AT15" s="70" t="n">
        <f aca="false">IFERROR(__xludf.dummyfunction("""COMPUTED_VALUE"""),9816760)</f>
        <v>9816760</v>
      </c>
      <c r="AU15" s="70" t="n">
        <f aca="false">IFERROR(__xludf.dummyfunction("""COMPUTED_VALUE"""),1145967)</f>
        <v>1145967</v>
      </c>
      <c r="AV15" s="70" t="n">
        <f aca="false">IFERROR(__xludf.dummyfunction("""COMPUTED_VALUE"""),370540)</f>
        <v>370540</v>
      </c>
      <c r="AW15" s="70" t="n">
        <f aca="false">IFERROR(__xludf.dummyfunction("""COMPUTED_VALUE"""),3517713)</f>
        <v>3517713</v>
      </c>
      <c r="AX15" s="70" t="n">
        <f aca="false">IFERROR(__xludf.dummyfunction("""COMPUTED_VALUE"""),2677642)</f>
        <v>2677642</v>
      </c>
      <c r="AY15" s="70" t="n">
        <f aca="false">IFERROR(__xludf.dummyfunction("""COMPUTED_VALUE"""),1079613)</f>
        <v>1079613</v>
      </c>
      <c r="AZ15" s="70" t="n">
        <f aca="false">IFERROR(__xludf.dummyfunction("""COMPUTED_VALUE"""),2588284)</f>
        <v>2588284</v>
      </c>
      <c r="BA15" s="70" t="n">
        <f aca="false">IFERROR(__xludf.dummyfunction("""COMPUTED_VALUE"""),268367)</f>
        <v>268367</v>
      </c>
    </row>
    <row r="16" customFormat="false" ht="15.75" hidden="false" customHeight="false" outlineLevel="0" collapsed="false">
      <c r="A16" s="71" t="str">
        <f aca="false">IFERROR(__xludf.dummyfunction("""COMPUTED_VALUE"""),"zip_code")</f>
        <v>zip_code</v>
      </c>
      <c r="B16" s="72" t="n">
        <f aca="false">IFERROR(__xludf.dummyfunction("""COMPUTED_VALUE"""),121399271)</f>
        <v>121399271</v>
      </c>
      <c r="C16" s="73" t="n">
        <f aca="false">IFERROR(__xludf.dummyfunction("""COMPUTED_VALUE"""),2249205)</f>
        <v>2249205</v>
      </c>
      <c r="D16" s="70" t="n">
        <f aca="false">IFERROR(__xludf.dummyfunction("""COMPUTED_VALUE"""),235781)</f>
        <v>235781</v>
      </c>
      <c r="E16" s="70" t="n">
        <f aca="false">IFERROR(__xludf.dummyfunction("""COMPUTED_VALUE"""),2490946)</f>
        <v>2490946</v>
      </c>
      <c r="F16" s="70" t="n">
        <f aca="false">IFERROR(__xludf.dummyfunction("""COMPUTED_VALUE"""),1282513)</f>
        <v>1282513</v>
      </c>
      <c r="G16" s="70" t="n">
        <f aca="false">IFERROR(__xludf.dummyfunction("""COMPUTED_VALUE"""),10527529)</f>
        <v>10527529</v>
      </c>
      <c r="H16" s="70" t="n">
        <f aca="false">IFERROR(__xludf.dummyfunction("""COMPUTED_VALUE"""),2516853)</f>
        <v>2516853</v>
      </c>
      <c r="I16" s="70" t="n">
        <f aca="false">IFERROR(__xludf.dummyfunction("""COMPUTED_VALUE"""),1245551)</f>
        <v>1245551</v>
      </c>
      <c r="J16" s="70" t="n">
        <f aca="false">IFERROR(__xludf.dummyfunction("""COMPUTED_VALUE"""),522055)</f>
        <v>522055</v>
      </c>
      <c r="K16" s="70" t="n">
        <f aca="false">IFERROR(__xludf.dummyfunction("""COMPUTED_VALUE"""),182180)</f>
        <v>182180</v>
      </c>
      <c r="L16" s="70" t="n">
        <f aca="false">IFERROR(__xludf.dummyfunction("""COMPUTED_VALUE"""),8402261)</f>
        <v>8402261</v>
      </c>
      <c r="M16" s="70" t="n">
        <f aca="false">IFERROR(__xludf.dummyfunction("""COMPUTED_VALUE"""),4338520)</f>
        <v>4338520</v>
      </c>
      <c r="N16" s="70" t="n">
        <f aca="false">IFERROR(__xludf.dummyfunction("""COMPUTED_VALUE"""),658700)</f>
        <v>658700</v>
      </c>
      <c r="O16" s="70" t="n">
        <f aca="false">IFERROR(__xludf.dummyfunction("""COMPUTED_VALUE"""),766740)</f>
        <v>766740</v>
      </c>
      <c r="P16" s="70" t="n">
        <f aca="false">IFERROR(__xludf.dummyfunction("""COMPUTED_VALUE"""),4463137)</f>
        <v>4463137</v>
      </c>
      <c r="Q16" s="70" t="n">
        <f aca="false">IFERROR(__xludf.dummyfunction("""COMPUTED_VALUE"""),2432000)</f>
        <v>2432000</v>
      </c>
      <c r="R16" s="70" t="n">
        <f aca="false">IFERROR(__xludf.dummyfunction("""COMPUTED_VALUE"""),1627093)</f>
        <v>1627093</v>
      </c>
      <c r="S16" s="70" t="n">
        <f aca="false">IFERROR(__xludf.dummyfunction("""COMPUTED_VALUE"""),1117252)</f>
        <v>1117252</v>
      </c>
      <c r="T16" s="70" t="n">
        <f aca="false">IFERROR(__xludf.dummyfunction("""COMPUTED_VALUE"""),1980897)</f>
        <v>1980897</v>
      </c>
      <c r="U16" s="70" t="n">
        <f aca="false">IFERROR(__xludf.dummyfunction("""COMPUTED_VALUE"""),1828117)</f>
        <v>1828117</v>
      </c>
      <c r="V16" s="70" t="n">
        <f aca="false">IFERROR(__xludf.dummyfunction("""COMPUTED_VALUE"""),667231)</f>
        <v>667231</v>
      </c>
      <c r="W16" s="70" t="n">
        <f aca="false">IFERROR(__xludf.dummyfunction("""COMPUTED_VALUE"""),2239661)</f>
        <v>2239661</v>
      </c>
      <c r="X16" s="70" t="n">
        <f aca="false">IFERROR(__xludf.dummyfunction("""COMPUTED_VALUE"""),2270423)</f>
        <v>2270423</v>
      </c>
      <c r="Y16" s="70" t="n">
        <f aca="false">IFERROR(__xludf.dummyfunction("""COMPUTED_VALUE"""),4249549)</f>
        <v>4249549</v>
      </c>
      <c r="Z16" s="70" t="n">
        <f aca="false">IFERROR(__xludf.dummyfunction("""COMPUTED_VALUE"""),2280372)</f>
        <v>2280372</v>
      </c>
      <c r="AA16" s="70" t="n">
        <f aca="false">IFERROR(__xludf.dummyfunction("""COMPUTED_VALUE"""),1271928)</f>
        <v>1271928</v>
      </c>
      <c r="AB16" s="70" t="n">
        <f aca="false">IFERROR(__xludf.dummyfunction("""COMPUTED_VALUE"""),2600487)</f>
        <v>2600487</v>
      </c>
      <c r="AC16" s="70" t="n">
        <f aca="false">IFERROR(__xludf.dummyfunction("""COMPUTED_VALUE"""),467360)</f>
        <v>467360</v>
      </c>
      <c r="AD16" s="70" t="n">
        <f aca="false">IFERROR(__xludf.dummyfunction("""COMPUTED_VALUE"""),740515)</f>
        <v>740515</v>
      </c>
      <c r="AE16" s="70" t="n">
        <f aca="false">IFERROR(__xludf.dummyfunction("""COMPUTED_VALUE"""),1012978)</f>
        <v>1012978</v>
      </c>
      <c r="AF16" s="70" t="n">
        <f aca="false">IFERROR(__xludf.dummyfunction("""COMPUTED_VALUE"""),596343)</f>
        <v>596343</v>
      </c>
      <c r="AG16" s="70" t="n">
        <f aca="false">IFERROR(__xludf.dummyfunction("""COMPUTED_VALUE"""),2871516)</f>
        <v>2871516</v>
      </c>
      <c r="AH16" s="70" t="n">
        <f aca="false">IFERROR(__xludf.dummyfunction("""COMPUTED_VALUE"""),881215)</f>
        <v>881215</v>
      </c>
      <c r="AI16" s="70" t="n">
        <f aca="false">IFERROR(__xludf.dummyfunction("""COMPUTED_VALUE"""),5802382)</f>
        <v>5802382</v>
      </c>
      <c r="AJ16" s="70" t="n">
        <f aca="false">IFERROR(__xludf.dummyfunction("""COMPUTED_VALUE"""),4551291)</f>
        <v>4551291</v>
      </c>
      <c r="AK16" s="70" t="n">
        <f aca="false">IFERROR(__xludf.dummyfunction("""COMPUTED_VALUE"""),252765)</f>
        <v>252765</v>
      </c>
      <c r="AL16" s="70" t="n">
        <f aca="false">IFERROR(__xludf.dummyfunction("""COMPUTED_VALUE"""),4387715)</f>
        <v>4387715</v>
      </c>
      <c r="AM16" s="70" t="n">
        <f aca="false">IFERROR(__xludf.dummyfunction("""COMPUTED_VALUE"""),1910699)</f>
        <v>1910699</v>
      </c>
      <c r="AN16" s="70" t="n">
        <f aca="false">IFERROR(__xludf.dummyfunction("""COMPUTED_VALUE"""),1608655)</f>
        <v>1608655</v>
      </c>
      <c r="AO16" s="70" t="n">
        <f aca="false">IFERROR(__xludf.dummyfunction("""COMPUTED_VALUE"""),4925314)</f>
        <v>4925314</v>
      </c>
      <c r="AP16" s="70" t="n">
        <f aca="false">IFERROR(__xludf.dummyfunction("""COMPUTED_VALUE"""),370771)</f>
        <v>370771</v>
      </c>
      <c r="AQ16" s="70" t="n">
        <f aca="false">IFERROR(__xludf.dummyfunction("""COMPUTED_VALUE"""),2356579)</f>
        <v>2356579</v>
      </c>
      <c r="AR16" s="70" t="n">
        <f aca="false">IFERROR(__xludf.dummyfunction("""COMPUTED_VALUE"""),328700)</f>
        <v>328700</v>
      </c>
      <c r="AS16" s="70" t="n">
        <f aca="false">IFERROR(__xludf.dummyfunction("""COMPUTED_VALUE"""),3355418)</f>
        <v>3355418</v>
      </c>
      <c r="AT16" s="70" t="n">
        <f aca="false">IFERROR(__xludf.dummyfunction("""COMPUTED_VALUE"""),9676137)</f>
        <v>9676137</v>
      </c>
      <c r="AU16" s="70" t="n">
        <f aca="false">IFERROR(__xludf.dummyfunction("""COMPUTED_VALUE"""),1083791)</f>
        <v>1083791</v>
      </c>
      <c r="AV16" s="70" t="n">
        <f aca="false">IFERROR(__xludf.dummyfunction("""COMPUTED_VALUE"""),338149)</f>
        <v>338149</v>
      </c>
      <c r="AW16" s="70" t="n">
        <f aca="false">IFERROR(__xludf.dummyfunction("""COMPUTED_VALUE"""),3236748)</f>
        <v>3236748</v>
      </c>
      <c r="AX16" s="70" t="n">
        <f aca="false">IFERROR(__xludf.dummyfunction("""COMPUTED_VALUE"""),2607610)</f>
        <v>2607610</v>
      </c>
      <c r="AY16" s="70" t="n">
        <f aca="false">IFERROR(__xludf.dummyfunction("""COMPUTED_VALUE"""),909707)</f>
        <v>909707</v>
      </c>
      <c r="AZ16" s="70" t="n">
        <f aca="false">IFERROR(__xludf.dummyfunction("""COMPUTED_VALUE"""),2406367)</f>
        <v>2406367</v>
      </c>
      <c r="BA16" s="70" t="n">
        <f aca="false">IFERROR(__xludf.dummyfunction("""COMPUTED_VALUE"""),261174)</f>
        <v>261174</v>
      </c>
    </row>
    <row r="17" customFormat="false" ht="15.75" hidden="false" customHeight="false" outlineLevel="0" collapsed="false">
      <c r="A17" s="71" t="str">
        <f aca="false">IFERROR(__xludf.dummyfunction("""COMPUTED_VALUE"""),"zip_plus_four_code")</f>
        <v>zip_plus_four_code</v>
      </c>
      <c r="B17" s="72" t="n">
        <f aca="false">IFERROR(__xludf.dummyfunction("""COMPUTED_VALUE"""),109948852)</f>
        <v>109948852</v>
      </c>
      <c r="C17" s="73" t="n">
        <f aca="false">IFERROR(__xludf.dummyfunction("""COMPUTED_VALUE"""),1873468)</f>
        <v>1873468</v>
      </c>
      <c r="D17" s="70" t="n">
        <f aca="false">IFERROR(__xludf.dummyfunction("""COMPUTED_VALUE"""),173491)</f>
        <v>173491</v>
      </c>
      <c r="E17" s="70" t="n">
        <f aca="false">IFERROR(__xludf.dummyfunction("""COMPUTED_VALUE"""),2356387)</f>
        <v>2356387</v>
      </c>
      <c r="F17" s="70" t="n">
        <f aca="false">IFERROR(__xludf.dummyfunction("""COMPUTED_VALUE"""),1132732)</f>
        <v>1132732</v>
      </c>
      <c r="G17" s="70" t="n">
        <f aca="false">IFERROR(__xludf.dummyfunction("""COMPUTED_VALUE"""),10111410)</f>
        <v>10111410</v>
      </c>
      <c r="H17" s="70" t="n">
        <f aca="false">IFERROR(__xludf.dummyfunction("""COMPUTED_VALUE"""),2316273)</f>
        <v>2316273</v>
      </c>
      <c r="I17" s="70" t="n">
        <f aca="false">IFERROR(__xludf.dummyfunction("""COMPUTED_VALUE"""),1217264)</f>
        <v>1217264</v>
      </c>
      <c r="J17" s="70" t="n">
        <f aca="false">IFERROR(__xludf.dummyfunction("""COMPUTED_VALUE"""),478353)</f>
        <v>478353</v>
      </c>
      <c r="K17" s="70" t="n">
        <f aca="false">IFERROR(__xludf.dummyfunction("""COMPUTED_VALUE"""),181242)</f>
        <v>181242</v>
      </c>
      <c r="L17" s="70" t="n">
        <f aca="false">IFERROR(__xludf.dummyfunction("""COMPUTED_VALUE"""),8126909)</f>
        <v>8126909</v>
      </c>
      <c r="M17" s="70" t="n">
        <f aca="false">IFERROR(__xludf.dummyfunction("""COMPUTED_VALUE"""),3811387)</f>
        <v>3811387</v>
      </c>
      <c r="N17" s="70" t="n">
        <f aca="false">IFERROR(__xludf.dummyfunction("""COMPUTED_VALUE"""),440865)</f>
        <v>440865</v>
      </c>
      <c r="O17" s="70" t="n">
        <f aca="false">IFERROR(__xludf.dummyfunction("""COMPUTED_VALUE"""),631695)</f>
        <v>631695</v>
      </c>
      <c r="P17" s="70" t="n">
        <f aca="false">IFERROR(__xludf.dummyfunction("""COMPUTED_VALUE"""),4278725)</f>
        <v>4278725</v>
      </c>
      <c r="Q17" s="70" t="n">
        <f aca="false">IFERROR(__xludf.dummyfunction("""COMPUTED_VALUE"""),2325801)</f>
        <v>2325801</v>
      </c>
      <c r="R17" s="70" t="n">
        <f aca="false">IFERROR(__xludf.dummyfunction("""COMPUTED_VALUE"""),1408640)</f>
        <v>1408640</v>
      </c>
      <c r="S17" s="70" t="n">
        <f aca="false">IFERROR(__xludf.dummyfunction("""COMPUTED_VALUE"""),1049711)</f>
        <v>1049711</v>
      </c>
      <c r="T17" s="70" t="n">
        <f aca="false">IFERROR(__xludf.dummyfunction("""COMPUTED_VALUE"""),1583915)</f>
        <v>1583915</v>
      </c>
      <c r="U17" s="70" t="n">
        <f aca="false">IFERROR(__xludf.dummyfunction("""COMPUTED_VALUE"""),1643877)</f>
        <v>1643877</v>
      </c>
      <c r="V17" s="70" t="n">
        <f aca="false">IFERROR(__xludf.dummyfunction("""COMPUTED_VALUE"""),572139)</f>
        <v>572139</v>
      </c>
      <c r="W17" s="70" t="n">
        <f aca="false">IFERROR(__xludf.dummyfunction("""COMPUTED_VALUE"""),2131188)</f>
        <v>2131188</v>
      </c>
      <c r="X17" s="70" t="n">
        <f aca="false">IFERROR(__xludf.dummyfunction("""COMPUTED_VALUE"""),2196518)</f>
        <v>2196518</v>
      </c>
      <c r="Y17" s="70" t="n">
        <f aca="false">IFERROR(__xludf.dummyfunction("""COMPUTED_VALUE"""),3786808)</f>
        <v>3786808</v>
      </c>
      <c r="Z17" s="70" t="n">
        <f aca="false">IFERROR(__xludf.dummyfunction("""COMPUTED_VALUE"""),2055324)</f>
        <v>2055324</v>
      </c>
      <c r="AA17" s="70" t="n">
        <f aca="false">IFERROR(__xludf.dummyfunction("""COMPUTED_VALUE"""),998263)</f>
        <v>998263</v>
      </c>
      <c r="AB17" s="70" t="n">
        <f aca="false">IFERROR(__xludf.dummyfunction("""COMPUTED_VALUE"""),2179051)</f>
        <v>2179051</v>
      </c>
      <c r="AC17" s="70" t="n">
        <f aca="false">IFERROR(__xludf.dummyfunction("""COMPUTED_VALUE"""),388741)</f>
        <v>388741</v>
      </c>
      <c r="AD17" s="70" t="n">
        <f aca="false">IFERROR(__xludf.dummyfunction("""COMPUTED_VALUE"""),678736)</f>
        <v>678736</v>
      </c>
      <c r="AE17" s="70" t="n">
        <f aca="false">IFERROR(__xludf.dummyfunction("""COMPUTED_VALUE"""),974933)</f>
        <v>974933</v>
      </c>
      <c r="AF17" s="70" t="n">
        <f aca="false">IFERROR(__xludf.dummyfunction("""COMPUTED_VALUE"""),540598)</f>
        <v>540598</v>
      </c>
      <c r="AG17" s="70" t="n">
        <f aca="false">IFERROR(__xludf.dummyfunction("""COMPUTED_VALUE"""),2727022)</f>
        <v>2727022</v>
      </c>
      <c r="AH17" s="70" t="n">
        <f aca="false">IFERROR(__xludf.dummyfunction("""COMPUTED_VALUE"""),697118)</f>
        <v>697118</v>
      </c>
      <c r="AI17" s="70" t="n">
        <f aca="false">IFERROR(__xludf.dummyfunction("""COMPUTED_VALUE"""),5298155)</f>
        <v>5298155</v>
      </c>
      <c r="AJ17" s="70" t="n">
        <f aca="false">IFERROR(__xludf.dummyfunction("""COMPUTED_VALUE"""),3844728)</f>
        <v>3844728</v>
      </c>
      <c r="AK17" s="70" t="n">
        <f aca="false">IFERROR(__xludf.dummyfunction("""COMPUTED_VALUE"""),208406)</f>
        <v>208406</v>
      </c>
      <c r="AL17" s="70" t="n">
        <f aca="false">IFERROR(__xludf.dummyfunction("""COMPUTED_VALUE"""),4070348)</f>
        <v>4070348</v>
      </c>
      <c r="AM17" s="70" t="n">
        <f aca="false">IFERROR(__xludf.dummyfunction("""COMPUTED_VALUE"""),1620128)</f>
        <v>1620128</v>
      </c>
      <c r="AN17" s="70" t="n">
        <f aca="false">IFERROR(__xludf.dummyfunction("""COMPUTED_VALUE"""),1509654)</f>
        <v>1509654</v>
      </c>
      <c r="AO17" s="70" t="n">
        <f aca="false">IFERROR(__xludf.dummyfunction("""COMPUTED_VALUE"""),4468084)</f>
        <v>4468084</v>
      </c>
      <c r="AP17" s="70" t="n">
        <f aca="false">IFERROR(__xludf.dummyfunction("""COMPUTED_VALUE"""),359331)</f>
        <v>359331</v>
      </c>
      <c r="AQ17" s="70" t="n">
        <f aca="false">IFERROR(__xludf.dummyfunction("""COMPUTED_VALUE"""),2096559)</f>
        <v>2096559</v>
      </c>
      <c r="AR17" s="70" t="n">
        <f aca="false">IFERROR(__xludf.dummyfunction("""COMPUTED_VALUE"""),276667)</f>
        <v>276667</v>
      </c>
      <c r="AS17" s="70" t="n">
        <f aca="false">IFERROR(__xludf.dummyfunction("""COMPUTED_VALUE"""),2755459)</f>
        <v>2755459</v>
      </c>
      <c r="AT17" s="70" t="n">
        <f aca="false">IFERROR(__xludf.dummyfunction("""COMPUTED_VALUE"""),8927381)</f>
        <v>8927381</v>
      </c>
      <c r="AU17" s="70" t="n">
        <f aca="false">IFERROR(__xludf.dummyfunction("""COMPUTED_VALUE"""),966355)</f>
        <v>966355</v>
      </c>
      <c r="AV17" s="70" t="n">
        <f aca="false">IFERROR(__xludf.dummyfunction("""COMPUTED_VALUE"""),250340)</f>
        <v>250340</v>
      </c>
      <c r="AW17" s="70" t="n">
        <f aca="false">IFERROR(__xludf.dummyfunction("""COMPUTED_VALUE"""),2899933)</f>
        <v>2899933</v>
      </c>
      <c r="AX17" s="70" t="n">
        <f aca="false">IFERROR(__xludf.dummyfunction("""COMPUTED_VALUE"""),2430554)</f>
        <v>2430554</v>
      </c>
      <c r="AY17" s="70" t="n">
        <f aca="false">IFERROR(__xludf.dummyfunction("""COMPUTED_VALUE"""),566020)</f>
        <v>566020</v>
      </c>
      <c r="AZ17" s="70" t="n">
        <f aca="false">IFERROR(__xludf.dummyfunction("""COMPUTED_VALUE"""),2117792)</f>
        <v>2117792</v>
      </c>
      <c r="BA17" s="70" t="n">
        <f aca="false">IFERROR(__xludf.dummyfunction("""COMPUTED_VALUE"""),211936)</f>
        <v>211936</v>
      </c>
    </row>
    <row r="18" customFormat="false" ht="15.75" hidden="false" customHeight="false" outlineLevel="0" collapsed="false">
      <c r="A18" s="71" t="str">
        <f aca="false">IFERROR(__xludf.dummyfunction("""COMPUTED_VALUE"""),"latitude")</f>
        <v>latitude</v>
      </c>
      <c r="B18" s="72" t="n">
        <f aca="false">IFERROR(__xludf.dummyfunction("""COMPUTED_VALUE"""),122198261)</f>
        <v>122198261</v>
      </c>
      <c r="C18" s="73" t="n">
        <f aca="false">IFERROR(__xludf.dummyfunction("""COMPUTED_VALUE"""),2443695)</f>
        <v>2443695</v>
      </c>
      <c r="D18" s="70" t="n">
        <f aca="false">IFERROR(__xludf.dummyfunction("""COMPUTED_VALUE"""),249843)</f>
        <v>249843</v>
      </c>
      <c r="E18" s="70" t="n">
        <f aca="false">IFERROR(__xludf.dummyfunction("""COMPUTED_VALUE"""),2481868)</f>
        <v>2481868</v>
      </c>
      <c r="F18" s="70" t="n">
        <f aca="false">IFERROR(__xludf.dummyfunction("""COMPUTED_VALUE"""),1285517)</f>
        <v>1285517</v>
      </c>
      <c r="G18" s="70" t="n">
        <f aca="false">IFERROR(__xludf.dummyfunction("""COMPUTED_VALUE"""),10602026)</f>
        <v>10602026</v>
      </c>
      <c r="H18" s="70" t="n">
        <f aca="false">IFERROR(__xludf.dummyfunction("""COMPUTED_VALUE"""),2501861)</f>
        <v>2501861</v>
      </c>
      <c r="I18" s="70" t="n">
        <f aca="false">IFERROR(__xludf.dummyfunction("""COMPUTED_VALUE"""),1236378)</f>
        <v>1236378</v>
      </c>
      <c r="J18" s="70" t="n">
        <f aca="false">IFERROR(__xludf.dummyfunction("""COMPUTED_VALUE"""),515287)</f>
        <v>515287</v>
      </c>
      <c r="K18" s="70" t="n">
        <f aca="false">IFERROR(__xludf.dummyfunction("""COMPUTED_VALUE"""),181570)</f>
        <v>181570</v>
      </c>
      <c r="L18" s="70" t="n">
        <f aca="false">IFERROR(__xludf.dummyfunction("""COMPUTED_VALUE"""),8340298)</f>
        <v>8340298</v>
      </c>
      <c r="M18" s="70" t="n">
        <f aca="false">IFERROR(__xludf.dummyfunction("""COMPUTED_VALUE"""),4314125)</f>
        <v>4314125</v>
      </c>
      <c r="N18" s="70" t="n">
        <f aca="false">IFERROR(__xludf.dummyfunction("""COMPUTED_VALUE"""),647364)</f>
        <v>647364</v>
      </c>
      <c r="O18" s="70" t="n">
        <f aca="false">IFERROR(__xludf.dummyfunction("""COMPUTED_VALUE"""),811209)</f>
        <v>811209</v>
      </c>
      <c r="P18" s="70" t="n">
        <f aca="false">IFERROR(__xludf.dummyfunction("""COMPUTED_VALUE"""),4478195)</f>
        <v>4478195</v>
      </c>
      <c r="Q18" s="70" t="n">
        <f aca="false">IFERROR(__xludf.dummyfunction("""COMPUTED_VALUE"""),2426046)</f>
        <v>2426046</v>
      </c>
      <c r="R18" s="70" t="n">
        <f aca="false">IFERROR(__xludf.dummyfunction("""COMPUTED_VALUE"""),1671432)</f>
        <v>1671432</v>
      </c>
      <c r="S18" s="70" t="n">
        <f aca="false">IFERROR(__xludf.dummyfunction("""COMPUTED_VALUE"""),1130344)</f>
        <v>1130344</v>
      </c>
      <c r="T18" s="70" t="n">
        <f aca="false">IFERROR(__xludf.dummyfunction("""COMPUTED_VALUE"""),1946418)</f>
        <v>1946418</v>
      </c>
      <c r="U18" s="70" t="n">
        <f aca="false">IFERROR(__xludf.dummyfunction("""COMPUTED_VALUE"""),1815686)</f>
        <v>1815686</v>
      </c>
      <c r="V18" s="70" t="n">
        <f aca="false">IFERROR(__xludf.dummyfunction("""COMPUTED_VALUE"""),666525)</f>
        <v>666525</v>
      </c>
      <c r="W18" s="70" t="n">
        <f aca="false">IFERROR(__xludf.dummyfunction("""COMPUTED_VALUE"""),2211670)</f>
        <v>2211670</v>
      </c>
      <c r="X18" s="70" t="n">
        <f aca="false">IFERROR(__xludf.dummyfunction("""COMPUTED_VALUE"""),2250608)</f>
        <v>2250608</v>
      </c>
      <c r="Y18" s="70" t="n">
        <f aca="false">IFERROR(__xludf.dummyfunction("""COMPUTED_VALUE"""),4215020)</f>
        <v>4215020</v>
      </c>
      <c r="Z18" s="70" t="n">
        <f aca="false">IFERROR(__xludf.dummyfunction("""COMPUTED_VALUE"""),2338597)</f>
        <v>2338597</v>
      </c>
      <c r="AA18" s="70" t="n">
        <f aca="false">IFERROR(__xludf.dummyfunction("""COMPUTED_VALUE"""),1465091)</f>
        <v>1465091</v>
      </c>
      <c r="AB18" s="70" t="n">
        <f aca="false">IFERROR(__xludf.dummyfunction("""COMPUTED_VALUE"""),2646681)</f>
        <v>2646681</v>
      </c>
      <c r="AC18" s="70" t="n">
        <f aca="false">IFERROR(__xludf.dummyfunction("""COMPUTED_VALUE"""),469750)</f>
        <v>469750</v>
      </c>
      <c r="AD18" s="70" t="n">
        <f aca="false">IFERROR(__xludf.dummyfunction("""COMPUTED_VALUE"""),750325)</f>
        <v>750325</v>
      </c>
      <c r="AE18" s="70" t="n">
        <f aca="false">IFERROR(__xludf.dummyfunction("""COMPUTED_VALUE"""),1008097)</f>
        <v>1008097</v>
      </c>
      <c r="AF18" s="70" t="n">
        <f aca="false">IFERROR(__xludf.dummyfunction("""COMPUTED_VALUE"""),587511)</f>
        <v>587511</v>
      </c>
      <c r="AG18" s="70" t="n">
        <f aca="false">IFERROR(__xludf.dummyfunction("""COMPUTED_VALUE"""),2859631)</f>
        <v>2859631</v>
      </c>
      <c r="AH18" s="70" t="n">
        <f aca="false">IFERROR(__xludf.dummyfunction("""COMPUTED_VALUE"""),1046878)</f>
        <v>1046878</v>
      </c>
      <c r="AI18" s="70" t="n">
        <f aca="false">IFERROR(__xludf.dummyfunction("""COMPUTED_VALUE"""),5753199)</f>
        <v>5753199</v>
      </c>
      <c r="AJ18" s="70" t="n">
        <f aca="false">IFERROR(__xludf.dummyfunction("""COMPUTED_VALUE"""),4509115)</f>
        <v>4509115</v>
      </c>
      <c r="AK18" s="70" t="n">
        <f aca="false">IFERROR(__xludf.dummyfunction("""COMPUTED_VALUE"""),279274)</f>
        <v>279274</v>
      </c>
      <c r="AL18" s="70" t="n">
        <f aca="false">IFERROR(__xludf.dummyfunction("""COMPUTED_VALUE"""),4348144)</f>
        <v>4348144</v>
      </c>
      <c r="AM18" s="70" t="n">
        <f aca="false">IFERROR(__xludf.dummyfunction("""COMPUTED_VALUE"""),2061464)</f>
        <v>2061464</v>
      </c>
      <c r="AN18" s="70" t="n">
        <f aca="false">IFERROR(__xludf.dummyfunction("""COMPUTED_VALUE"""),1627106)</f>
        <v>1627106</v>
      </c>
      <c r="AO18" s="70" t="n">
        <f aca="false">IFERROR(__xludf.dummyfunction("""COMPUTED_VALUE"""),4939367)</f>
        <v>4939367</v>
      </c>
      <c r="AP18" s="70" t="n">
        <f aca="false">IFERROR(__xludf.dummyfunction("""COMPUTED_VALUE"""),364393)</f>
        <v>364393</v>
      </c>
      <c r="AQ18" s="70" t="n">
        <f aca="false">IFERROR(__xludf.dummyfunction("""COMPUTED_VALUE"""),2379439)</f>
        <v>2379439</v>
      </c>
      <c r="AR18" s="70" t="n">
        <f aca="false">IFERROR(__xludf.dummyfunction("""COMPUTED_VALUE"""),341588)</f>
        <v>341588</v>
      </c>
      <c r="AS18" s="70" t="n">
        <f aca="false">IFERROR(__xludf.dummyfunction("""COMPUTED_VALUE"""),3326776)</f>
        <v>3326776</v>
      </c>
      <c r="AT18" s="70" t="n">
        <f aca="false">IFERROR(__xludf.dummyfunction("""COMPUTED_VALUE"""),9523999)</f>
        <v>9523999</v>
      </c>
      <c r="AU18" s="70" t="n">
        <f aca="false">IFERROR(__xludf.dummyfunction("""COMPUTED_VALUE"""),1095654)</f>
        <v>1095654</v>
      </c>
      <c r="AV18" s="70" t="n">
        <f aca="false">IFERROR(__xludf.dummyfunction("""COMPUTED_VALUE"""),349851)</f>
        <v>349851</v>
      </c>
      <c r="AW18" s="70" t="n">
        <f aca="false">IFERROR(__xludf.dummyfunction("""COMPUTED_VALUE"""),3432771)</f>
        <v>3432771</v>
      </c>
      <c r="AX18" s="70" t="n">
        <f aca="false">IFERROR(__xludf.dummyfunction("""COMPUTED_VALUE"""),2626300)</f>
        <v>2626300</v>
      </c>
      <c r="AY18" s="70" t="n">
        <f aca="false">IFERROR(__xludf.dummyfunction("""COMPUTED_VALUE"""),878747)</f>
        <v>878747</v>
      </c>
      <c r="AZ18" s="70" t="n">
        <f aca="false">IFERROR(__xludf.dummyfunction("""COMPUTED_VALUE"""),2507368)</f>
        <v>2507368</v>
      </c>
      <c r="BA18" s="70" t="n">
        <f aca="false">IFERROR(__xludf.dummyfunction("""COMPUTED_VALUE"""),254296)</f>
        <v>254296</v>
      </c>
    </row>
    <row r="19" customFormat="false" ht="15.75" hidden="false" customHeight="false" outlineLevel="0" collapsed="false">
      <c r="A19" s="71" t="str">
        <f aca="false">IFERROR(__xludf.dummyfunction("""COMPUTED_VALUE"""),"longitude")</f>
        <v>longitude</v>
      </c>
      <c r="B19" s="72" t="n">
        <f aca="false">IFERROR(__xludf.dummyfunction("""COMPUTED_VALUE"""),122198261)</f>
        <v>122198261</v>
      </c>
      <c r="C19" s="73" t="n">
        <f aca="false">IFERROR(__xludf.dummyfunction("""COMPUTED_VALUE"""),2443695)</f>
        <v>2443695</v>
      </c>
      <c r="D19" s="70" t="n">
        <f aca="false">IFERROR(__xludf.dummyfunction("""COMPUTED_VALUE"""),249843)</f>
        <v>249843</v>
      </c>
      <c r="E19" s="70" t="n">
        <f aca="false">IFERROR(__xludf.dummyfunction("""COMPUTED_VALUE"""),2481868)</f>
        <v>2481868</v>
      </c>
      <c r="F19" s="70" t="n">
        <f aca="false">IFERROR(__xludf.dummyfunction("""COMPUTED_VALUE"""),1285517)</f>
        <v>1285517</v>
      </c>
      <c r="G19" s="70" t="n">
        <f aca="false">IFERROR(__xludf.dummyfunction("""COMPUTED_VALUE"""),10602026)</f>
        <v>10602026</v>
      </c>
      <c r="H19" s="70" t="n">
        <f aca="false">IFERROR(__xludf.dummyfunction("""COMPUTED_VALUE"""),2501861)</f>
        <v>2501861</v>
      </c>
      <c r="I19" s="70" t="n">
        <f aca="false">IFERROR(__xludf.dummyfunction("""COMPUTED_VALUE"""),1236378)</f>
        <v>1236378</v>
      </c>
      <c r="J19" s="70" t="n">
        <f aca="false">IFERROR(__xludf.dummyfunction("""COMPUTED_VALUE"""),515287)</f>
        <v>515287</v>
      </c>
      <c r="K19" s="70" t="n">
        <f aca="false">IFERROR(__xludf.dummyfunction("""COMPUTED_VALUE"""),181570)</f>
        <v>181570</v>
      </c>
      <c r="L19" s="70" t="n">
        <f aca="false">IFERROR(__xludf.dummyfunction("""COMPUTED_VALUE"""),8340298)</f>
        <v>8340298</v>
      </c>
      <c r="M19" s="70" t="n">
        <f aca="false">IFERROR(__xludf.dummyfunction("""COMPUTED_VALUE"""),4314125)</f>
        <v>4314125</v>
      </c>
      <c r="N19" s="70" t="n">
        <f aca="false">IFERROR(__xludf.dummyfunction("""COMPUTED_VALUE"""),647364)</f>
        <v>647364</v>
      </c>
      <c r="O19" s="70" t="n">
        <f aca="false">IFERROR(__xludf.dummyfunction("""COMPUTED_VALUE"""),811209)</f>
        <v>811209</v>
      </c>
      <c r="P19" s="70" t="n">
        <f aca="false">IFERROR(__xludf.dummyfunction("""COMPUTED_VALUE"""),4478195)</f>
        <v>4478195</v>
      </c>
      <c r="Q19" s="70" t="n">
        <f aca="false">IFERROR(__xludf.dummyfunction("""COMPUTED_VALUE"""),2426046)</f>
        <v>2426046</v>
      </c>
      <c r="R19" s="70" t="n">
        <f aca="false">IFERROR(__xludf.dummyfunction("""COMPUTED_VALUE"""),1671432)</f>
        <v>1671432</v>
      </c>
      <c r="S19" s="70" t="n">
        <f aca="false">IFERROR(__xludf.dummyfunction("""COMPUTED_VALUE"""),1130344)</f>
        <v>1130344</v>
      </c>
      <c r="T19" s="70" t="n">
        <f aca="false">IFERROR(__xludf.dummyfunction("""COMPUTED_VALUE"""),1946418)</f>
        <v>1946418</v>
      </c>
      <c r="U19" s="70" t="n">
        <f aca="false">IFERROR(__xludf.dummyfunction("""COMPUTED_VALUE"""),1815686)</f>
        <v>1815686</v>
      </c>
      <c r="V19" s="70" t="n">
        <f aca="false">IFERROR(__xludf.dummyfunction("""COMPUTED_VALUE"""),666525)</f>
        <v>666525</v>
      </c>
      <c r="W19" s="70" t="n">
        <f aca="false">IFERROR(__xludf.dummyfunction("""COMPUTED_VALUE"""),2211670)</f>
        <v>2211670</v>
      </c>
      <c r="X19" s="70" t="n">
        <f aca="false">IFERROR(__xludf.dummyfunction("""COMPUTED_VALUE"""),2250608)</f>
        <v>2250608</v>
      </c>
      <c r="Y19" s="70" t="n">
        <f aca="false">IFERROR(__xludf.dummyfunction("""COMPUTED_VALUE"""),4215020)</f>
        <v>4215020</v>
      </c>
      <c r="Z19" s="70" t="n">
        <f aca="false">IFERROR(__xludf.dummyfunction("""COMPUTED_VALUE"""),2338597)</f>
        <v>2338597</v>
      </c>
      <c r="AA19" s="70" t="n">
        <f aca="false">IFERROR(__xludf.dummyfunction("""COMPUTED_VALUE"""),1465091)</f>
        <v>1465091</v>
      </c>
      <c r="AB19" s="70" t="n">
        <f aca="false">IFERROR(__xludf.dummyfunction("""COMPUTED_VALUE"""),2646681)</f>
        <v>2646681</v>
      </c>
      <c r="AC19" s="70" t="n">
        <f aca="false">IFERROR(__xludf.dummyfunction("""COMPUTED_VALUE"""),469750)</f>
        <v>469750</v>
      </c>
      <c r="AD19" s="70" t="n">
        <f aca="false">IFERROR(__xludf.dummyfunction("""COMPUTED_VALUE"""),750325)</f>
        <v>750325</v>
      </c>
      <c r="AE19" s="70" t="n">
        <f aca="false">IFERROR(__xludf.dummyfunction("""COMPUTED_VALUE"""),1008097)</f>
        <v>1008097</v>
      </c>
      <c r="AF19" s="70" t="n">
        <f aca="false">IFERROR(__xludf.dummyfunction("""COMPUTED_VALUE"""),587511)</f>
        <v>587511</v>
      </c>
      <c r="AG19" s="70" t="n">
        <f aca="false">IFERROR(__xludf.dummyfunction("""COMPUTED_VALUE"""),2859631)</f>
        <v>2859631</v>
      </c>
      <c r="AH19" s="70" t="n">
        <f aca="false">IFERROR(__xludf.dummyfunction("""COMPUTED_VALUE"""),1046878)</f>
        <v>1046878</v>
      </c>
      <c r="AI19" s="70" t="n">
        <f aca="false">IFERROR(__xludf.dummyfunction("""COMPUTED_VALUE"""),5753199)</f>
        <v>5753199</v>
      </c>
      <c r="AJ19" s="70" t="n">
        <f aca="false">IFERROR(__xludf.dummyfunction("""COMPUTED_VALUE"""),4509115)</f>
        <v>4509115</v>
      </c>
      <c r="AK19" s="70" t="n">
        <f aca="false">IFERROR(__xludf.dummyfunction("""COMPUTED_VALUE"""),279274)</f>
        <v>279274</v>
      </c>
      <c r="AL19" s="70" t="n">
        <f aca="false">IFERROR(__xludf.dummyfunction("""COMPUTED_VALUE"""),4348144)</f>
        <v>4348144</v>
      </c>
      <c r="AM19" s="70" t="n">
        <f aca="false">IFERROR(__xludf.dummyfunction("""COMPUTED_VALUE"""),2061464)</f>
        <v>2061464</v>
      </c>
      <c r="AN19" s="70" t="n">
        <f aca="false">IFERROR(__xludf.dummyfunction("""COMPUTED_VALUE"""),1627106)</f>
        <v>1627106</v>
      </c>
      <c r="AO19" s="70" t="n">
        <f aca="false">IFERROR(__xludf.dummyfunction("""COMPUTED_VALUE"""),4939367)</f>
        <v>4939367</v>
      </c>
      <c r="AP19" s="70" t="n">
        <f aca="false">IFERROR(__xludf.dummyfunction("""COMPUTED_VALUE"""),364393)</f>
        <v>364393</v>
      </c>
      <c r="AQ19" s="70" t="n">
        <f aca="false">IFERROR(__xludf.dummyfunction("""COMPUTED_VALUE"""),2379439)</f>
        <v>2379439</v>
      </c>
      <c r="AR19" s="70" t="n">
        <f aca="false">IFERROR(__xludf.dummyfunction("""COMPUTED_VALUE"""),341588)</f>
        <v>341588</v>
      </c>
      <c r="AS19" s="70" t="n">
        <f aca="false">IFERROR(__xludf.dummyfunction("""COMPUTED_VALUE"""),3326776)</f>
        <v>3326776</v>
      </c>
      <c r="AT19" s="70" t="n">
        <f aca="false">IFERROR(__xludf.dummyfunction("""COMPUTED_VALUE"""),9523999)</f>
        <v>9523999</v>
      </c>
      <c r="AU19" s="70" t="n">
        <f aca="false">IFERROR(__xludf.dummyfunction("""COMPUTED_VALUE"""),1095654)</f>
        <v>1095654</v>
      </c>
      <c r="AV19" s="70" t="n">
        <f aca="false">IFERROR(__xludf.dummyfunction("""COMPUTED_VALUE"""),349851)</f>
        <v>349851</v>
      </c>
      <c r="AW19" s="70" t="n">
        <f aca="false">IFERROR(__xludf.dummyfunction("""COMPUTED_VALUE"""),3432771)</f>
        <v>3432771</v>
      </c>
      <c r="AX19" s="70" t="n">
        <f aca="false">IFERROR(__xludf.dummyfunction("""COMPUTED_VALUE"""),2626300)</f>
        <v>2626300</v>
      </c>
      <c r="AY19" s="70" t="n">
        <f aca="false">IFERROR(__xludf.dummyfunction("""COMPUTED_VALUE"""),878747)</f>
        <v>878747</v>
      </c>
      <c r="AZ19" s="70" t="n">
        <f aca="false">IFERROR(__xludf.dummyfunction("""COMPUTED_VALUE"""),2507368)</f>
        <v>2507368</v>
      </c>
      <c r="BA19" s="70" t="n">
        <f aca="false">IFERROR(__xludf.dummyfunction("""COMPUTED_VALUE"""),254296)</f>
        <v>254296</v>
      </c>
    </row>
    <row r="20" customFormat="false" ht="15.75" hidden="false" customHeight="false" outlineLevel="0" collapsed="false">
      <c r="A20" s="71" t="str">
        <f aca="false">IFERROR(__xludf.dummyfunction("""COMPUTED_VALUE"""),"geocoding_accuracy")</f>
        <v>geocoding_accuracy</v>
      </c>
      <c r="B20" s="72" t="n">
        <f aca="false">IFERROR(__xludf.dummyfunction("""COMPUTED_VALUE"""),113683774)</f>
        <v>113683774</v>
      </c>
      <c r="C20" s="73" t="n">
        <f aca="false">IFERROR(__xludf.dummyfunction("""COMPUTED_VALUE"""),1993805)</f>
        <v>1993805</v>
      </c>
      <c r="D20" s="70" t="n">
        <f aca="false">IFERROR(__xludf.dummyfunction("""COMPUTED_VALUE"""),644104)</f>
        <v>644104</v>
      </c>
      <c r="E20" s="70" t="n">
        <f aca="false">IFERROR(__xludf.dummyfunction("""COMPUTED_VALUE"""),2452947)</f>
        <v>2452947</v>
      </c>
      <c r="F20" s="70" t="n">
        <f aca="false">IFERROR(__xludf.dummyfunction("""COMPUTED_VALUE"""),1198824)</f>
        <v>1198824</v>
      </c>
      <c r="G20" s="70" t="n">
        <f aca="false">IFERROR(__xludf.dummyfunction("""COMPUTED_VALUE"""),10297367)</f>
        <v>10297367</v>
      </c>
      <c r="H20" s="70" t="n">
        <f aca="false">IFERROR(__xludf.dummyfunction("""COMPUTED_VALUE"""),2378415)</f>
        <v>2378415</v>
      </c>
      <c r="I20" s="70" t="n">
        <f aca="false">IFERROR(__xludf.dummyfunction("""COMPUTED_VALUE"""),1151351)</f>
        <v>1151351</v>
      </c>
      <c r="J20" s="70" t="n">
        <f aca="false">IFERROR(__xludf.dummyfunction("""COMPUTED_VALUE"""),517194)</f>
        <v>517194</v>
      </c>
      <c r="K20" s="70" t="n">
        <f aca="false">IFERROR(__xludf.dummyfunction("""COMPUTED_VALUE"""),174466)</f>
        <v>174466</v>
      </c>
      <c r="L20" s="70" t="n">
        <f aca="false">IFERROR(__xludf.dummyfunction("""COMPUTED_VALUE"""),7986700)</f>
        <v>7986700</v>
      </c>
      <c r="M20" s="70" t="n">
        <f aca="false">IFERROR(__xludf.dummyfunction("""COMPUTED_VALUE"""),3822256)</f>
        <v>3822256</v>
      </c>
      <c r="N20" s="70" t="n">
        <f aca="false">IFERROR(__xludf.dummyfunction("""COMPUTED_VALUE"""),455425)</f>
        <v>455425</v>
      </c>
      <c r="O20" s="70" t="n">
        <f aca="false">IFERROR(__xludf.dummyfunction("""COMPUTED_VALUE"""),689696)</f>
        <v>689696</v>
      </c>
      <c r="P20" s="70" t="n">
        <f aca="false">IFERROR(__xludf.dummyfunction("""COMPUTED_VALUE"""),4269902)</f>
        <v>4269902</v>
      </c>
      <c r="Q20" s="70" t="n">
        <f aca="false">IFERROR(__xludf.dummyfunction("""COMPUTED_VALUE"""),2354599)</f>
        <v>2354599</v>
      </c>
      <c r="R20" s="70" t="n">
        <f aca="false">IFERROR(__xludf.dummyfunction("""COMPUTED_VALUE"""),1590777)</f>
        <v>1590777</v>
      </c>
      <c r="S20" s="70" t="n">
        <f aca="false">IFERROR(__xludf.dummyfunction("""COMPUTED_VALUE"""),1058861)</f>
        <v>1058861</v>
      </c>
      <c r="T20" s="70" t="n">
        <f aca="false">IFERROR(__xludf.dummyfunction("""COMPUTED_VALUE"""),1865402)</f>
        <v>1865402</v>
      </c>
      <c r="U20" s="70" t="n">
        <f aca="false">IFERROR(__xludf.dummyfunction("""COMPUTED_VALUE"""),1723281)</f>
        <v>1723281</v>
      </c>
      <c r="V20" s="70" t="n">
        <f aca="false">IFERROR(__xludf.dummyfunction("""COMPUTED_VALUE"""),560744)</f>
        <v>560744</v>
      </c>
      <c r="W20" s="70" t="n">
        <f aca="false">IFERROR(__xludf.dummyfunction("""COMPUTED_VALUE"""),1958558)</f>
        <v>1958558</v>
      </c>
      <c r="X20" s="70" t="n">
        <f aca="false">IFERROR(__xludf.dummyfunction("""COMPUTED_VALUE"""),2050336)</f>
        <v>2050336</v>
      </c>
      <c r="Y20" s="70" t="n">
        <f aca="false">IFERROR(__xludf.dummyfunction("""COMPUTED_VALUE"""),4128669)</f>
        <v>4128669</v>
      </c>
      <c r="Z20" s="70" t="n">
        <f aca="false">IFERROR(__xludf.dummyfunction("""COMPUTED_VALUE"""),2201710)</f>
        <v>2201710</v>
      </c>
      <c r="AA20" s="70" t="n">
        <f aca="false">IFERROR(__xludf.dummyfunction("""COMPUTED_VALUE"""),1128036)</f>
        <v>1128036</v>
      </c>
      <c r="AB20" s="70" t="n">
        <f aca="false">IFERROR(__xludf.dummyfunction("""COMPUTED_VALUE"""),2402064)</f>
        <v>2402064</v>
      </c>
      <c r="AC20" s="70" t="n">
        <f aca="false">IFERROR(__xludf.dummyfunction("""COMPUTED_VALUE"""),445875)</f>
        <v>445875</v>
      </c>
      <c r="AD20" s="70" t="n">
        <f aca="false">IFERROR(__xludf.dummyfunction("""COMPUTED_VALUE"""),713476)</f>
        <v>713476</v>
      </c>
      <c r="AE20" s="70" t="n">
        <f aca="false">IFERROR(__xludf.dummyfunction("""COMPUTED_VALUE"""),990780)</f>
        <v>990780</v>
      </c>
      <c r="AF20" s="70" t="n">
        <f aca="false">IFERROR(__xludf.dummyfunction("""COMPUTED_VALUE"""),534663)</f>
        <v>534663</v>
      </c>
      <c r="AG20" s="70" t="n">
        <f aca="false">IFERROR(__xludf.dummyfunction("""COMPUTED_VALUE"""),2637485)</f>
        <v>2637485</v>
      </c>
      <c r="AH20" s="70" t="n">
        <f aca="false">IFERROR(__xludf.dummyfunction("""COMPUTED_VALUE"""),836746)</f>
        <v>836746</v>
      </c>
      <c r="AI20" s="70" t="n">
        <f aca="false">IFERROR(__xludf.dummyfunction("""COMPUTED_VALUE"""),5248188)</f>
        <v>5248188</v>
      </c>
      <c r="AJ20" s="70" t="n">
        <f aca="false">IFERROR(__xludf.dummyfunction("""COMPUTED_VALUE"""),4091965)</f>
        <v>4091965</v>
      </c>
      <c r="AK20" s="70" t="n">
        <f aca="false">IFERROR(__xludf.dummyfunction("""COMPUTED_VALUE"""),242045)</f>
        <v>242045</v>
      </c>
      <c r="AL20" s="70" t="n">
        <f aca="false">IFERROR(__xludf.dummyfunction("""COMPUTED_VALUE"""),4179761)</f>
        <v>4179761</v>
      </c>
      <c r="AM20" s="70" t="n">
        <f aca="false">IFERROR(__xludf.dummyfunction("""COMPUTED_VALUE"""),1811760)</f>
        <v>1811760</v>
      </c>
      <c r="AN20" s="70" t="n">
        <f aca="false">IFERROR(__xludf.dummyfunction("""COMPUTED_VALUE"""),1462280)</f>
        <v>1462280</v>
      </c>
      <c r="AO20" s="70" t="n">
        <f aca="false">IFERROR(__xludf.dummyfunction("""COMPUTED_VALUE"""),4653732)</f>
        <v>4653732</v>
      </c>
      <c r="AP20" s="70" t="n">
        <f aca="false">IFERROR(__xludf.dummyfunction("""COMPUTED_VALUE"""),325839)</f>
        <v>325839</v>
      </c>
      <c r="AQ20" s="70" t="n">
        <f aca="false">IFERROR(__xludf.dummyfunction("""COMPUTED_VALUE"""),2252139)</f>
        <v>2252139</v>
      </c>
      <c r="AR20" s="70" t="n">
        <f aca="false">IFERROR(__xludf.dummyfunction("""COMPUTED_VALUE"""),314916)</f>
        <v>314916</v>
      </c>
      <c r="AS20" s="70" t="n">
        <f aca="false">IFERROR(__xludf.dummyfunction("""COMPUTED_VALUE"""),2783197)</f>
        <v>2783197</v>
      </c>
      <c r="AT20" s="70" t="n">
        <f aca="false">IFERROR(__xludf.dummyfunction("""COMPUTED_VALUE"""),9174949)</f>
        <v>9174949</v>
      </c>
      <c r="AU20" s="70" t="n">
        <f aca="false">IFERROR(__xludf.dummyfunction("""COMPUTED_VALUE"""),961233)</f>
        <v>961233</v>
      </c>
      <c r="AV20" s="70" t="n">
        <f aca="false">IFERROR(__xludf.dummyfunction("""COMPUTED_VALUE"""),257977)</f>
        <v>257977</v>
      </c>
      <c r="AW20" s="70" t="n">
        <f aca="false">IFERROR(__xludf.dummyfunction("""COMPUTED_VALUE"""),2928253)</f>
        <v>2928253</v>
      </c>
      <c r="AX20" s="70" t="n">
        <f aca="false">IFERROR(__xludf.dummyfunction("""COMPUTED_VALUE"""),2501783)</f>
        <v>2501783</v>
      </c>
      <c r="AY20" s="70" t="n">
        <f aca="false">IFERROR(__xludf.dummyfunction("""COMPUTED_VALUE"""),799235)</f>
        <v>799235</v>
      </c>
      <c r="AZ20" s="70" t="n">
        <f aca="false">IFERROR(__xludf.dummyfunction("""COMPUTED_VALUE"""),2224501)</f>
        <v>2224501</v>
      </c>
      <c r="BA20" s="70" t="n">
        <f aca="false">IFERROR(__xludf.dummyfunction("""COMPUTED_VALUE"""),238251)</f>
        <v>238251</v>
      </c>
    </row>
    <row r="21" customFormat="false" ht="15.75" hidden="false" customHeight="false" outlineLevel="0" collapsed="false">
      <c r="A21" s="71" t="str">
        <f aca="false">IFERROR(__xludf.dummyfunction("""COMPUTED_VALUE"""),"census_tract")</f>
        <v>census_tract</v>
      </c>
      <c r="B21" s="72" t="n">
        <f aca="false">IFERROR(__xludf.dummyfunction("""COMPUTED_VALUE"""),123071258)</f>
        <v>123071258</v>
      </c>
      <c r="C21" s="73" t="n">
        <f aca="false">IFERROR(__xludf.dummyfunction("""COMPUTED_VALUE"""),2465321)</f>
        <v>2465321</v>
      </c>
      <c r="D21" s="70" t="n">
        <f aca="false">IFERROR(__xludf.dummyfunction("""COMPUTED_VALUE"""),260158)</f>
        <v>260158</v>
      </c>
      <c r="E21" s="70" t="n">
        <f aca="false">IFERROR(__xludf.dummyfunction("""COMPUTED_VALUE"""),2485506)</f>
        <v>2485506</v>
      </c>
      <c r="F21" s="70" t="n">
        <f aca="false">IFERROR(__xludf.dummyfunction("""COMPUTED_VALUE"""),1293387)</f>
        <v>1293387</v>
      </c>
      <c r="G21" s="70" t="n">
        <f aca="false">IFERROR(__xludf.dummyfunction("""COMPUTED_VALUE"""),10605009)</f>
        <v>10605009</v>
      </c>
      <c r="H21" s="70" t="n">
        <f aca="false">IFERROR(__xludf.dummyfunction("""COMPUTED_VALUE"""),2521787)</f>
        <v>2521787</v>
      </c>
      <c r="I21" s="70" t="n">
        <f aca="false">IFERROR(__xludf.dummyfunction("""COMPUTED_VALUE"""),1244468)</f>
        <v>1244468</v>
      </c>
      <c r="J21" s="70" t="n">
        <f aca="false">IFERROR(__xludf.dummyfunction("""COMPUTED_VALUE"""),517192)</f>
        <v>517192</v>
      </c>
      <c r="K21" s="70" t="n">
        <f aca="false">IFERROR(__xludf.dummyfunction("""COMPUTED_VALUE"""),182137)</f>
        <v>182137</v>
      </c>
      <c r="L21" s="70" t="n">
        <f aca="false">IFERROR(__xludf.dummyfunction("""COMPUTED_VALUE"""),8397956)</f>
        <v>8397956</v>
      </c>
      <c r="M21" s="70" t="n">
        <f aca="false">IFERROR(__xludf.dummyfunction("""COMPUTED_VALUE"""),4372686)</f>
        <v>4372686</v>
      </c>
      <c r="N21" s="70" t="n">
        <f aca="false">IFERROR(__xludf.dummyfunction("""COMPUTED_VALUE"""),659382)</f>
        <v>659382</v>
      </c>
      <c r="O21" s="70" t="n">
        <f aca="false">IFERROR(__xludf.dummyfunction("""COMPUTED_VALUE"""),810418)</f>
        <v>810418</v>
      </c>
      <c r="P21" s="70" t="n">
        <f aca="false">IFERROR(__xludf.dummyfunction("""COMPUTED_VALUE"""),4490418)</f>
        <v>4490418</v>
      </c>
      <c r="Q21" s="70" t="n">
        <f aca="false">IFERROR(__xludf.dummyfunction("""COMPUTED_VALUE"""),2428077)</f>
        <v>2428077</v>
      </c>
      <c r="R21" s="70" t="n">
        <f aca="false">IFERROR(__xludf.dummyfunction("""COMPUTED_VALUE"""),1675457)</f>
        <v>1675457</v>
      </c>
      <c r="S21" s="70" t="n">
        <f aca="false">IFERROR(__xludf.dummyfunction("""COMPUTED_VALUE"""),1130938)</f>
        <v>1130938</v>
      </c>
      <c r="T21" s="70" t="n">
        <f aca="false">IFERROR(__xludf.dummyfunction("""COMPUTED_VALUE"""),1981692)</f>
        <v>1981692</v>
      </c>
      <c r="U21" s="70" t="n">
        <f aca="false">IFERROR(__xludf.dummyfunction("""COMPUTED_VALUE"""),1831230)</f>
        <v>1831230</v>
      </c>
      <c r="V21" s="70" t="n">
        <f aca="false">IFERROR(__xludf.dummyfunction("""COMPUTED_VALUE"""),674416)</f>
        <v>674416</v>
      </c>
      <c r="W21" s="70" t="n">
        <f aca="false">IFERROR(__xludf.dummyfunction("""COMPUTED_VALUE"""),2225122)</f>
        <v>2225122</v>
      </c>
      <c r="X21" s="70" t="n">
        <f aca="false">IFERROR(__xludf.dummyfunction("""COMPUTED_VALUE"""),2267069)</f>
        <v>2267069</v>
      </c>
      <c r="Y21" s="70" t="n">
        <f aca="false">IFERROR(__xludf.dummyfunction("""COMPUTED_VALUE"""),4225086)</f>
        <v>4225086</v>
      </c>
      <c r="Z21" s="70" t="n">
        <f aca="false">IFERROR(__xludf.dummyfunction("""COMPUTED_VALUE"""),2336280)</f>
        <v>2336280</v>
      </c>
      <c r="AA21" s="70" t="n">
        <f aca="false">IFERROR(__xludf.dummyfunction("""COMPUTED_VALUE"""),1464274)</f>
        <v>1464274</v>
      </c>
      <c r="AB21" s="70" t="n">
        <f aca="false">IFERROR(__xludf.dummyfunction("""COMPUTED_VALUE"""),2673034)</f>
        <v>2673034</v>
      </c>
      <c r="AC21" s="70" t="n">
        <f aca="false">IFERROR(__xludf.dummyfunction("""COMPUTED_VALUE"""),469371)</f>
        <v>469371</v>
      </c>
      <c r="AD21" s="70" t="n">
        <f aca="false">IFERROR(__xludf.dummyfunction("""COMPUTED_VALUE"""),766710)</f>
        <v>766710</v>
      </c>
      <c r="AE21" s="70" t="n">
        <f aca="false">IFERROR(__xludf.dummyfunction("""COMPUTED_VALUE"""),1011922)</f>
        <v>1011922</v>
      </c>
      <c r="AF21" s="70" t="n">
        <f aca="false">IFERROR(__xludf.dummyfunction("""COMPUTED_VALUE"""),592896)</f>
        <v>592896</v>
      </c>
      <c r="AG21" s="70" t="n">
        <f aca="false">IFERROR(__xludf.dummyfunction("""COMPUTED_VALUE"""),2873489)</f>
        <v>2873489</v>
      </c>
      <c r="AH21" s="70" t="n">
        <f aca="false">IFERROR(__xludf.dummyfunction("""COMPUTED_VALUE"""),1007292)</f>
        <v>1007292</v>
      </c>
      <c r="AI21" s="70" t="n">
        <f aca="false">IFERROR(__xludf.dummyfunction("""COMPUTED_VALUE"""),5792087)</f>
        <v>5792087</v>
      </c>
      <c r="AJ21" s="70" t="n">
        <f aca="false">IFERROR(__xludf.dummyfunction("""COMPUTED_VALUE"""),4593804)</f>
        <v>4593804</v>
      </c>
      <c r="AK21" s="70" t="n">
        <f aca="false">IFERROR(__xludf.dummyfunction("""COMPUTED_VALUE"""),279492)</f>
        <v>279492</v>
      </c>
      <c r="AL21" s="70" t="n">
        <f aca="false">IFERROR(__xludf.dummyfunction("""COMPUTED_VALUE"""),4364622)</f>
        <v>4364622</v>
      </c>
      <c r="AM21" s="70" t="n">
        <f aca="false">IFERROR(__xludf.dummyfunction("""COMPUTED_VALUE"""),2044605)</f>
        <v>2044605</v>
      </c>
      <c r="AN21" s="70" t="n">
        <f aca="false">IFERROR(__xludf.dummyfunction("""COMPUTED_VALUE"""),1640971)</f>
        <v>1640971</v>
      </c>
      <c r="AO21" s="70" t="n">
        <f aca="false">IFERROR(__xludf.dummyfunction("""COMPUTED_VALUE"""),4979786)</f>
        <v>4979786</v>
      </c>
      <c r="AP21" s="70" t="n">
        <f aca="false">IFERROR(__xludf.dummyfunction("""COMPUTED_VALUE"""),370036)</f>
        <v>370036</v>
      </c>
      <c r="AQ21" s="70" t="n">
        <f aca="false">IFERROR(__xludf.dummyfunction("""COMPUTED_VALUE"""),2434557)</f>
        <v>2434557</v>
      </c>
      <c r="AR21" s="70" t="n">
        <f aca="false">IFERROR(__xludf.dummyfunction("""COMPUTED_VALUE"""),344360)</f>
        <v>344360</v>
      </c>
      <c r="AS21" s="70" t="n">
        <f aca="false">IFERROR(__xludf.dummyfunction("""COMPUTED_VALUE"""),3382112)</f>
        <v>3382112</v>
      </c>
      <c r="AT21" s="70" t="n">
        <f aca="false">IFERROR(__xludf.dummyfunction("""COMPUTED_VALUE"""),9616609)</f>
        <v>9616609</v>
      </c>
      <c r="AU21" s="70" t="n">
        <f aca="false">IFERROR(__xludf.dummyfunction("""COMPUTED_VALUE"""),1096232)</f>
        <v>1096232</v>
      </c>
      <c r="AV21" s="70" t="n">
        <f aca="false">IFERROR(__xludf.dummyfunction("""COMPUTED_VALUE"""),363743)</f>
        <v>363743</v>
      </c>
      <c r="AW21" s="70" t="n">
        <f aca="false">IFERROR(__xludf.dummyfunction("""COMPUTED_VALUE"""),3455267)</f>
        <v>3455267</v>
      </c>
      <c r="AX21" s="70" t="n">
        <f aca="false">IFERROR(__xludf.dummyfunction("""COMPUTED_VALUE"""),2634128)</f>
        <v>2634128</v>
      </c>
      <c r="AY21" s="70" t="n">
        <f aca="false">IFERROR(__xludf.dummyfunction("""COMPUTED_VALUE"""),925677)</f>
        <v>925677</v>
      </c>
      <c r="AZ21" s="70" t="n">
        <f aca="false">IFERROR(__xludf.dummyfunction("""COMPUTED_VALUE"""),2548403)</f>
        <v>2548403</v>
      </c>
      <c r="BA21" s="70" t="n">
        <f aca="false">IFERROR(__xludf.dummyfunction("""COMPUTED_VALUE"""),260723)</f>
        <v>260723</v>
      </c>
    </row>
    <row r="22" customFormat="false" ht="15.75" hidden="false" customHeight="false" outlineLevel="0" collapsed="false">
      <c r="A22" s="71" t="str">
        <f aca="false">IFERROR(__xludf.dummyfunction("""COMPUTED_VALUE"""),"carrier_code")</f>
        <v>carrier_code</v>
      </c>
      <c r="B22" s="72" t="n">
        <f aca="false">IFERROR(__xludf.dummyfunction("""COMPUTED_VALUE"""),111524299)</f>
        <v>111524299</v>
      </c>
      <c r="C22" s="73" t="n">
        <f aca="false">IFERROR(__xludf.dummyfunction("""COMPUTED_VALUE"""),1892347)</f>
        <v>1892347</v>
      </c>
      <c r="D22" s="70" t="n">
        <f aca="false">IFERROR(__xludf.dummyfunction("""COMPUTED_VALUE"""),195110)</f>
        <v>195110</v>
      </c>
      <c r="E22" s="70" t="n">
        <f aca="false">IFERROR(__xludf.dummyfunction("""COMPUTED_VALUE"""),2374348)</f>
        <v>2374348</v>
      </c>
      <c r="F22" s="70" t="n">
        <f aca="false">IFERROR(__xludf.dummyfunction("""COMPUTED_VALUE"""),1167559)</f>
        <v>1167559</v>
      </c>
      <c r="G22" s="70" t="n">
        <f aca="false">IFERROR(__xludf.dummyfunction("""COMPUTED_VALUE"""),10141550)</f>
        <v>10141550</v>
      </c>
      <c r="H22" s="70" t="n">
        <f aca="false">IFERROR(__xludf.dummyfunction("""COMPUTED_VALUE"""),2342977)</f>
        <v>2342977</v>
      </c>
      <c r="I22" s="70" t="n">
        <f aca="false">IFERROR(__xludf.dummyfunction("""COMPUTED_VALUE"""),1220495)</f>
        <v>1220495</v>
      </c>
      <c r="J22" s="70" t="n">
        <f aca="false">IFERROR(__xludf.dummyfunction("""COMPUTED_VALUE"""),485643)</f>
        <v>485643</v>
      </c>
      <c r="K22" s="70" t="n">
        <f aca="false">IFERROR(__xludf.dummyfunction("""COMPUTED_VALUE"""),181228)</f>
        <v>181228</v>
      </c>
      <c r="L22" s="70" t="n">
        <f aca="false">IFERROR(__xludf.dummyfunction("""COMPUTED_VALUE"""),8151573)</f>
        <v>8151573</v>
      </c>
      <c r="M22" s="70" t="n">
        <f aca="false">IFERROR(__xludf.dummyfunction("""COMPUTED_VALUE"""),3892343)</f>
        <v>3892343</v>
      </c>
      <c r="N22" s="70" t="n">
        <f aca="false">IFERROR(__xludf.dummyfunction("""COMPUTED_VALUE"""),452621)</f>
        <v>452621</v>
      </c>
      <c r="O22" s="70" t="n">
        <f aca="false">IFERROR(__xludf.dummyfunction("""COMPUTED_VALUE"""),646721)</f>
        <v>646721</v>
      </c>
      <c r="P22" s="70" t="n">
        <f aca="false">IFERROR(__xludf.dummyfunction("""COMPUTED_VALUE"""),4289262)</f>
        <v>4289262</v>
      </c>
      <c r="Q22" s="70" t="n">
        <f aca="false">IFERROR(__xludf.dummyfunction("""COMPUTED_VALUE"""),2339392)</f>
        <v>2339392</v>
      </c>
      <c r="R22" s="70" t="n">
        <f aca="false">IFERROR(__xludf.dummyfunction("""COMPUTED_VALUE"""),1420599)</f>
        <v>1420599</v>
      </c>
      <c r="S22" s="70" t="n">
        <f aca="false">IFERROR(__xludf.dummyfunction("""COMPUTED_VALUE"""),1054462)</f>
        <v>1054462</v>
      </c>
      <c r="T22" s="70" t="n">
        <f aca="false">IFERROR(__xludf.dummyfunction("""COMPUTED_VALUE"""),1652493)</f>
        <v>1652493</v>
      </c>
      <c r="U22" s="70" t="n">
        <f aca="false">IFERROR(__xludf.dummyfunction("""COMPUTED_VALUE"""),1706719)</f>
        <v>1706719</v>
      </c>
      <c r="V22" s="70" t="n">
        <f aca="false">IFERROR(__xludf.dummyfunction("""COMPUTED_VALUE"""),577214)</f>
        <v>577214</v>
      </c>
      <c r="W22" s="70" t="n">
        <f aca="false">IFERROR(__xludf.dummyfunction("""COMPUTED_VALUE"""),2132314)</f>
        <v>2132314</v>
      </c>
      <c r="X22" s="70" t="n">
        <f aca="false">IFERROR(__xludf.dummyfunction("""COMPUTED_VALUE"""),2206573)</f>
        <v>2206573</v>
      </c>
      <c r="Y22" s="70" t="n">
        <f aca="false">IFERROR(__xludf.dummyfunction("""COMPUTED_VALUE"""),3893228)</f>
        <v>3893228</v>
      </c>
      <c r="Z22" s="70" t="n">
        <f aca="false">IFERROR(__xludf.dummyfunction("""COMPUTED_VALUE"""),2075892)</f>
        <v>2075892</v>
      </c>
      <c r="AA22" s="70" t="n">
        <f aca="false">IFERROR(__xludf.dummyfunction("""COMPUTED_VALUE"""),1018540)</f>
        <v>1018540</v>
      </c>
      <c r="AB22" s="70" t="n">
        <f aca="false">IFERROR(__xludf.dummyfunction("""COMPUTED_VALUE"""),2205846)</f>
        <v>2205846</v>
      </c>
      <c r="AC22" s="70" t="n">
        <f aca="false">IFERROR(__xludf.dummyfunction("""COMPUTED_VALUE"""),393855)</f>
        <v>393855</v>
      </c>
      <c r="AD22" s="70" t="n">
        <f aca="false">IFERROR(__xludf.dummyfunction("""COMPUTED_VALUE"""),688283)</f>
        <v>688283</v>
      </c>
      <c r="AE22" s="70" t="n">
        <f aca="false">IFERROR(__xludf.dummyfunction("""COMPUTED_VALUE"""),979540)</f>
        <v>979540</v>
      </c>
      <c r="AF22" s="70" t="n">
        <f aca="false">IFERROR(__xludf.dummyfunction("""COMPUTED_VALUE"""),543490)</f>
        <v>543490</v>
      </c>
      <c r="AG22" s="70" t="n">
        <f aca="false">IFERROR(__xludf.dummyfunction("""COMPUTED_VALUE"""),2776650)</f>
        <v>2776650</v>
      </c>
      <c r="AH22" s="70" t="n">
        <f aca="false">IFERROR(__xludf.dummyfunction("""COMPUTED_VALUE"""),717571)</f>
        <v>717571</v>
      </c>
      <c r="AI22" s="70" t="n">
        <f aca="false">IFERROR(__xludf.dummyfunction("""COMPUTED_VALUE"""),5444706)</f>
        <v>5444706</v>
      </c>
      <c r="AJ22" s="70" t="n">
        <f aca="false">IFERROR(__xludf.dummyfunction("""COMPUTED_VALUE"""),3975312)</f>
        <v>3975312</v>
      </c>
      <c r="AK22" s="70" t="n">
        <f aca="false">IFERROR(__xludf.dummyfunction("""COMPUTED_VALUE"""),212501)</f>
        <v>212501</v>
      </c>
      <c r="AL22" s="70" t="n">
        <f aca="false">IFERROR(__xludf.dummyfunction("""COMPUTED_VALUE"""),4115546)</f>
        <v>4115546</v>
      </c>
      <c r="AM22" s="70" t="n">
        <f aca="false">IFERROR(__xludf.dummyfunction("""COMPUTED_VALUE"""),1662542)</f>
        <v>1662542</v>
      </c>
      <c r="AN22" s="70" t="n">
        <f aca="false">IFERROR(__xludf.dummyfunction("""COMPUTED_VALUE"""),1520900)</f>
        <v>1520900</v>
      </c>
      <c r="AO22" s="70" t="n">
        <f aca="false">IFERROR(__xludf.dummyfunction("""COMPUTED_VALUE"""),4551557)</f>
        <v>4551557</v>
      </c>
      <c r="AP22" s="70" t="n">
        <f aca="false">IFERROR(__xludf.dummyfunction("""COMPUTED_VALUE"""),360546)</f>
        <v>360546</v>
      </c>
      <c r="AQ22" s="70" t="n">
        <f aca="false">IFERROR(__xludf.dummyfunction("""COMPUTED_VALUE"""),2141029)</f>
        <v>2141029</v>
      </c>
      <c r="AR22" s="70" t="n">
        <f aca="false">IFERROR(__xludf.dummyfunction("""COMPUTED_VALUE"""),284229)</f>
        <v>284229</v>
      </c>
      <c r="AS22" s="70" t="n">
        <f aca="false">IFERROR(__xludf.dummyfunction("""COMPUTED_VALUE"""),2779236)</f>
        <v>2779236</v>
      </c>
      <c r="AT22" s="70" t="n">
        <f aca="false">IFERROR(__xludf.dummyfunction("""COMPUTED_VALUE"""),9034449)</f>
        <v>9034449</v>
      </c>
      <c r="AU22" s="70" t="n">
        <f aca="false">IFERROR(__xludf.dummyfunction("""COMPUTED_VALUE"""),976568)</f>
        <v>976568</v>
      </c>
      <c r="AV22" s="70" t="n">
        <f aca="false">IFERROR(__xludf.dummyfunction("""COMPUTED_VALUE"""),265321)</f>
        <v>265321</v>
      </c>
      <c r="AW22" s="70" t="n">
        <f aca="false">IFERROR(__xludf.dummyfunction("""COMPUTED_VALUE"""),2932528)</f>
        <v>2932528</v>
      </c>
      <c r="AX22" s="70" t="n">
        <f aca="false">IFERROR(__xludf.dummyfunction("""COMPUTED_VALUE"""),2458843)</f>
        <v>2458843</v>
      </c>
      <c r="AY22" s="70" t="n">
        <f aca="false">IFERROR(__xludf.dummyfunction("""COMPUTED_VALUE"""),594220)</f>
        <v>594220</v>
      </c>
      <c r="AZ22" s="70" t="n">
        <f aca="false">IFERROR(__xludf.dummyfunction("""COMPUTED_VALUE"""),2175580)</f>
        <v>2175580</v>
      </c>
      <c r="BA22" s="70" t="n">
        <f aca="false">IFERROR(__xludf.dummyfunction("""COMPUTED_VALUE"""),219751)</f>
        <v>219751</v>
      </c>
    </row>
    <row r="23" customFormat="false" ht="15.75" hidden="false" customHeight="false" outlineLevel="0" collapsed="false">
      <c r="B23" s="59"/>
      <c r="C23" s="60"/>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row>
    <row r="24" customFormat="false" ht="15.75" hidden="false" customHeight="false" outlineLevel="0" collapsed="false">
      <c r="A24" s="74" t="s">
        <v>1811</v>
      </c>
      <c r="B24" s="63"/>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row>
    <row r="25" customFormat="false" ht="15.75" hidden="false" customHeight="false" outlineLevel="0" collapsed="false">
      <c r="A25" s="75" t="str">
        <f aca="false">IFERROR(__xludf.dummyfunction("TRANSPOSE(IMPORTRANGE(""https://docs.google.com/spreadsheets/d/1sNrf4xlwHQ-LujHTd1_nLHq6duGtTzjk33k9jntfg4c"", ""'Parcels'!F4:Z56""))"),"apn_unformatted")</f>
        <v>apn_unformatted</v>
      </c>
      <c r="B25" s="56" t="n">
        <f aca="false">IFERROR(__xludf.dummyfunction("""COMPUTED_VALUE"""),125842161)</f>
        <v>125842161</v>
      </c>
      <c r="C25" s="76" t="n">
        <f aca="false">IFERROR(__xludf.dummyfunction("""COMPUTED_VALUE"""),2564199)</f>
        <v>2564199</v>
      </c>
      <c r="D25" s="77" t="n">
        <f aca="false">IFERROR(__xludf.dummyfunction("""COMPUTED_VALUE"""),826229)</f>
        <v>826229</v>
      </c>
      <c r="E25" s="77" t="n">
        <f aca="false">IFERROR(__xludf.dummyfunction("""COMPUTED_VALUE"""),2509893)</f>
        <v>2509893</v>
      </c>
      <c r="F25" s="77" t="n">
        <f aca="false">IFERROR(__xludf.dummyfunction("""COMPUTED_VALUE"""),1315229)</f>
        <v>1315229</v>
      </c>
      <c r="G25" s="77" t="n">
        <f aca="false">IFERROR(__xludf.dummyfunction("""COMPUTED_VALUE"""),10677823)</f>
        <v>10677823</v>
      </c>
      <c r="H25" s="77" t="n">
        <f aca="false">IFERROR(__xludf.dummyfunction("""COMPUTED_VALUE"""),2546718)</f>
        <v>2546718</v>
      </c>
      <c r="I25" s="77" t="n">
        <f aca="false">IFERROR(__xludf.dummyfunction("""COMPUTED_VALUE"""),1245562)</f>
        <v>1245562</v>
      </c>
      <c r="J25" s="77" t="n">
        <f aca="false">IFERROR(__xludf.dummyfunction("""COMPUTED_VALUE"""),530175)</f>
        <v>530175</v>
      </c>
      <c r="K25" s="77" t="n">
        <f aca="false">IFERROR(__xludf.dummyfunction("""COMPUTED_VALUE"""),182248)</f>
        <v>182248</v>
      </c>
      <c r="L25" s="77" t="n">
        <f aca="false">IFERROR(__xludf.dummyfunction("""COMPUTED_VALUE"""),8417712)</f>
        <v>8417712</v>
      </c>
      <c r="M25" s="77" t="n">
        <f aca="false">IFERROR(__xludf.dummyfunction("""COMPUTED_VALUE"""),4424449)</f>
        <v>4424449</v>
      </c>
      <c r="N25" s="77" t="n">
        <f aca="false">IFERROR(__xludf.dummyfunction("""COMPUTED_VALUE"""),670067)</f>
        <v>670067</v>
      </c>
      <c r="O25" s="77" t="n">
        <f aca="false">IFERROR(__xludf.dummyfunction("""COMPUTED_VALUE"""),841049)</f>
        <v>841049</v>
      </c>
      <c r="P25" s="77" t="n">
        <f aca="false">IFERROR(__xludf.dummyfunction("""COMPUTED_VALUE"""),4516217)</f>
        <v>4516217</v>
      </c>
      <c r="Q25" s="77" t="n">
        <f aca="false">IFERROR(__xludf.dummyfunction("""COMPUTED_VALUE"""),2433165)</f>
        <v>2433165</v>
      </c>
      <c r="R25" s="77" t="n">
        <f aca="false">IFERROR(__xludf.dummyfunction("""COMPUTED_VALUE"""),1710017)</f>
        <v>1710017</v>
      </c>
      <c r="S25" s="77" t="n">
        <f aca="false">IFERROR(__xludf.dummyfunction("""COMPUTED_VALUE"""),1141858)</f>
        <v>1141858</v>
      </c>
      <c r="T25" s="77" t="n">
        <f aca="false">IFERROR(__xludf.dummyfunction("""COMPUTED_VALUE"""),2064428)</f>
        <v>2064428</v>
      </c>
      <c r="U25" s="77" t="n">
        <f aca="false">IFERROR(__xludf.dummyfunction("""COMPUTED_VALUE"""),1893823)</f>
        <v>1893823</v>
      </c>
      <c r="V25" s="77" t="n">
        <f aca="false">IFERROR(__xludf.dummyfunction("""COMPUTED_VALUE"""),685301)</f>
        <v>685301</v>
      </c>
      <c r="W25" s="77" t="n">
        <f aca="false">IFERROR(__xludf.dummyfunction("""COMPUTED_VALUE"""),2249569)</f>
        <v>2249569</v>
      </c>
      <c r="X25" s="77" t="n">
        <f aca="false">IFERROR(__xludf.dummyfunction("""COMPUTED_VALUE"""),2270540)</f>
        <v>2270540</v>
      </c>
      <c r="Y25" s="77" t="n">
        <f aca="false">IFERROR(__xludf.dummyfunction("""COMPUTED_VALUE"""),4271389)</f>
        <v>4271389</v>
      </c>
      <c r="Z25" s="77" t="n">
        <f aca="false">IFERROR(__xludf.dummyfunction("""COMPUTED_VALUE"""),2372898)</f>
        <v>2372898</v>
      </c>
      <c r="AA25" s="77" t="n">
        <f aca="false">IFERROR(__xludf.dummyfunction("""COMPUTED_VALUE"""),1541615)</f>
        <v>1541615</v>
      </c>
      <c r="AB25" s="77" t="n">
        <f aca="false">IFERROR(__xludf.dummyfunction("""COMPUTED_VALUE"""),2786034)</f>
        <v>2786034</v>
      </c>
      <c r="AC25" s="77" t="n">
        <f aca="false">IFERROR(__xludf.dummyfunction("""COMPUTED_VALUE"""),481360)</f>
        <v>481360</v>
      </c>
      <c r="AD25" s="77" t="n">
        <f aca="false">IFERROR(__xludf.dummyfunction("""COMPUTED_VALUE"""),785431)</f>
        <v>785431</v>
      </c>
      <c r="AE25" s="77" t="n">
        <f aca="false">IFERROR(__xludf.dummyfunction("""COMPUTED_VALUE"""),1017843)</f>
        <v>1017843</v>
      </c>
      <c r="AF25" s="77" t="n">
        <f aca="false">IFERROR(__xludf.dummyfunction("""COMPUTED_VALUE"""),596544)</f>
        <v>596544</v>
      </c>
      <c r="AG25" s="77" t="n">
        <f aca="false">IFERROR(__xludf.dummyfunction("""COMPUTED_VALUE"""),2878229)</f>
        <v>2878229</v>
      </c>
      <c r="AH25" s="77" t="n">
        <f aca="false">IFERROR(__xludf.dummyfunction("""COMPUTED_VALUE"""),1128723)</f>
        <v>1128723</v>
      </c>
      <c r="AI25" s="77" t="n">
        <f aca="false">IFERROR(__xludf.dummyfunction("""COMPUTED_VALUE"""),5814251)</f>
        <v>5814251</v>
      </c>
      <c r="AJ25" s="77" t="n">
        <f aca="false">IFERROR(__xludf.dummyfunction("""COMPUTED_VALUE"""),4696305)</f>
        <v>4696305</v>
      </c>
      <c r="AK25" s="77" t="n">
        <f aca="false">IFERROR(__xludf.dummyfunction("""COMPUTED_VALUE"""),297148)</f>
        <v>297148</v>
      </c>
      <c r="AL25" s="77" t="n">
        <f aca="false">IFERROR(__xludf.dummyfunction("""COMPUTED_VALUE"""),4415608)</f>
        <v>4415608</v>
      </c>
      <c r="AM25" s="77" t="n">
        <f aca="false">IFERROR(__xludf.dummyfunction("""COMPUTED_VALUE"""),2159170)</f>
        <v>2159170</v>
      </c>
      <c r="AN25" s="77" t="n">
        <f aca="false">IFERROR(__xludf.dummyfunction("""COMPUTED_VALUE"""),1658441)</f>
        <v>1658441</v>
      </c>
      <c r="AO25" s="77" t="n">
        <f aca="false">IFERROR(__xludf.dummyfunction("""COMPUTED_VALUE"""),5032928)</f>
        <v>5032928</v>
      </c>
      <c r="AP25" s="77" t="n">
        <f aca="false">IFERROR(__xludf.dummyfunction("""COMPUTED_VALUE"""),370776)</f>
        <v>370776</v>
      </c>
      <c r="AQ25" s="77" t="n">
        <f aca="false">IFERROR(__xludf.dummyfunction("""COMPUTED_VALUE"""),2544626)</f>
        <v>2544626</v>
      </c>
      <c r="AR25" s="77" t="n">
        <f aca="false">IFERROR(__xludf.dummyfunction("""COMPUTED_VALUE"""),360407)</f>
        <v>360407</v>
      </c>
      <c r="AS25" s="77" t="n">
        <f aca="false">IFERROR(__xludf.dummyfunction("""COMPUTED_VALUE"""),3434022)</f>
        <v>3434022</v>
      </c>
      <c r="AT25" s="77" t="n">
        <f aca="false">IFERROR(__xludf.dummyfunction("""COMPUTED_VALUE"""),9816760)</f>
        <v>9816760</v>
      </c>
      <c r="AU25" s="77" t="n">
        <f aca="false">IFERROR(__xludf.dummyfunction("""COMPUTED_VALUE"""),1145967)</f>
        <v>1145967</v>
      </c>
      <c r="AV25" s="77" t="n">
        <f aca="false">IFERROR(__xludf.dummyfunction("""COMPUTED_VALUE"""),370540)</f>
        <v>370540</v>
      </c>
      <c r="AW25" s="77" t="n">
        <f aca="false">IFERROR(__xludf.dummyfunction("""COMPUTED_VALUE"""),3517713)</f>
        <v>3517713</v>
      </c>
      <c r="AX25" s="77" t="n">
        <f aca="false">IFERROR(__xludf.dummyfunction("""COMPUTED_VALUE"""),2677642)</f>
        <v>2677642</v>
      </c>
      <c r="AY25" s="77" t="n">
        <f aca="false">IFERROR(__xludf.dummyfunction("""COMPUTED_VALUE"""),1079613)</f>
        <v>1079613</v>
      </c>
      <c r="AZ25" s="77" t="n">
        <f aca="false">IFERROR(__xludf.dummyfunction("""COMPUTED_VALUE"""),2588284)</f>
        <v>2588284</v>
      </c>
      <c r="BA25" s="77" t="n">
        <f aca="false">IFERROR(__xludf.dummyfunction("""COMPUTED_VALUE"""),268367)</f>
        <v>268367</v>
      </c>
    </row>
    <row r="26" customFormat="false" ht="15.75" hidden="false" customHeight="false" outlineLevel="0" collapsed="false">
      <c r="A26" s="71" t="str">
        <f aca="false">IFERROR(__xludf.dummyfunction("""COMPUTED_VALUE"""),"apn_previous")</f>
        <v>apn_previous</v>
      </c>
      <c r="B26" s="72" t="n">
        <f aca="false">IFERROR(__xludf.dummyfunction("""COMPUTED_VALUE"""),2075367)</f>
        <v>2075367</v>
      </c>
      <c r="C26" s="73" t="n">
        <f aca="false">IFERROR(__xludf.dummyfunction("""COMPUTED_VALUE"""),26571)</f>
        <v>26571</v>
      </c>
      <c r="D26" s="70" t="n">
        <f aca="false">IFERROR(__xludf.dummyfunction("""COMPUTED_VALUE"""),0)</f>
        <v>0</v>
      </c>
      <c r="E26" s="70" t="n">
        <f aca="false">IFERROR(__xludf.dummyfunction("""COMPUTED_VALUE"""),0)</f>
        <v>0</v>
      </c>
      <c r="F26" s="70" t="n">
        <f aca="false">IFERROR(__xludf.dummyfunction("""COMPUTED_VALUE"""),460)</f>
        <v>460</v>
      </c>
      <c r="G26" s="70" t="n">
        <f aca="false">IFERROR(__xludf.dummyfunction("""COMPUTED_VALUE"""),413236)</f>
        <v>413236</v>
      </c>
      <c r="H26" s="70" t="n">
        <f aca="false">IFERROR(__xludf.dummyfunction("""COMPUTED_VALUE"""),128197)</f>
        <v>128197</v>
      </c>
      <c r="I26" s="70" t="n">
        <f aca="false">IFERROR(__xludf.dummyfunction("""COMPUTED_VALUE"""),112)</f>
        <v>112</v>
      </c>
      <c r="J26" s="70" t="n">
        <f aca="false">IFERROR(__xludf.dummyfunction("""COMPUTED_VALUE"""),372)</f>
        <v>372</v>
      </c>
      <c r="K26" s="70" t="n">
        <f aca="false">IFERROR(__xludf.dummyfunction("""COMPUTED_VALUE"""),0)</f>
        <v>0</v>
      </c>
      <c r="L26" s="70" t="n">
        <f aca="false">IFERROR(__xludf.dummyfunction("""COMPUTED_VALUE"""),442)</f>
        <v>442</v>
      </c>
      <c r="M26" s="70" t="n">
        <f aca="false">IFERROR(__xludf.dummyfunction("""COMPUTED_VALUE"""),116258)</f>
        <v>116258</v>
      </c>
      <c r="N26" s="70" t="n">
        <f aca="false">IFERROR(__xludf.dummyfunction("""COMPUTED_VALUE"""),1779)</f>
        <v>1779</v>
      </c>
      <c r="O26" s="70" t="n">
        <f aca="false">IFERROR(__xludf.dummyfunction("""COMPUTED_VALUE"""),3184)</f>
        <v>3184</v>
      </c>
      <c r="P26" s="70" t="n">
        <f aca="false">IFERROR(__xludf.dummyfunction("""COMPUTED_VALUE"""),10982)</f>
        <v>10982</v>
      </c>
      <c r="Q26" s="70" t="n">
        <f aca="false">IFERROR(__xludf.dummyfunction("""COMPUTED_VALUE"""),0)</f>
        <v>0</v>
      </c>
      <c r="R26" s="70" t="n">
        <f aca="false">IFERROR(__xludf.dummyfunction("""COMPUTED_VALUE"""),102590)</f>
        <v>102590</v>
      </c>
      <c r="S26" s="70" t="n">
        <f aca="false">IFERROR(__xludf.dummyfunction("""COMPUTED_VALUE"""),929)</f>
        <v>929</v>
      </c>
      <c r="T26" s="70" t="n">
        <f aca="false">IFERROR(__xludf.dummyfunction("""COMPUTED_VALUE"""),18809)</f>
        <v>18809</v>
      </c>
      <c r="U26" s="70" t="n">
        <f aca="false">IFERROR(__xludf.dummyfunction("""COMPUTED_VALUE"""),3297)</f>
        <v>3297</v>
      </c>
      <c r="V26" s="70" t="n">
        <f aca="false">IFERROR(__xludf.dummyfunction("""COMPUTED_VALUE"""),318)</f>
        <v>318</v>
      </c>
      <c r="W26" s="70" t="n">
        <f aca="false">IFERROR(__xludf.dummyfunction("""COMPUTED_VALUE"""),34326)</f>
        <v>34326</v>
      </c>
      <c r="X26" s="70" t="n">
        <f aca="false">IFERROR(__xludf.dummyfunction("""COMPUTED_VALUE"""),150)</f>
        <v>150</v>
      </c>
      <c r="Y26" s="70" t="n">
        <f aca="false">IFERROR(__xludf.dummyfunction("""COMPUTED_VALUE"""),12304)</f>
        <v>12304</v>
      </c>
      <c r="Z26" s="70" t="n">
        <f aca="false">IFERROR(__xludf.dummyfunction("""COMPUTED_VALUE"""),11616)</f>
        <v>11616</v>
      </c>
      <c r="AA26" s="70" t="n">
        <f aca="false">IFERROR(__xludf.dummyfunction("""COMPUTED_VALUE"""),20944)</f>
        <v>20944</v>
      </c>
      <c r="AB26" s="70" t="n">
        <f aca="false">IFERROR(__xludf.dummyfunction("""COMPUTED_VALUE"""),29485)</f>
        <v>29485</v>
      </c>
      <c r="AC26" s="70" t="n">
        <f aca="false">IFERROR(__xludf.dummyfunction("""COMPUTED_VALUE"""),0)</f>
        <v>0</v>
      </c>
      <c r="AD26" s="70" t="n">
        <f aca="false">IFERROR(__xludf.dummyfunction("""COMPUTED_VALUE"""),95)</f>
        <v>95</v>
      </c>
      <c r="AE26" s="70" t="n">
        <f aca="false">IFERROR(__xludf.dummyfunction("""COMPUTED_VALUE"""),605)</f>
        <v>605</v>
      </c>
      <c r="AF26" s="70" t="n">
        <f aca="false">IFERROR(__xludf.dummyfunction("""COMPUTED_VALUE"""),163)</f>
        <v>163</v>
      </c>
      <c r="AG26" s="70" t="n">
        <f aca="false">IFERROR(__xludf.dummyfunction("""COMPUTED_VALUE"""),12601)</f>
        <v>12601</v>
      </c>
      <c r="AH26" s="70" t="n">
        <f aca="false">IFERROR(__xludf.dummyfunction("""COMPUTED_VALUE"""),2821)</f>
        <v>2821</v>
      </c>
      <c r="AI26" s="70" t="n">
        <f aca="false">IFERROR(__xludf.dummyfunction("""COMPUTED_VALUE"""),467953)</f>
        <v>467953</v>
      </c>
      <c r="AJ26" s="70" t="n">
        <f aca="false">IFERROR(__xludf.dummyfunction("""COMPUTED_VALUE"""),131655)</f>
        <v>131655</v>
      </c>
      <c r="AK26" s="70" t="n">
        <f aca="false">IFERROR(__xludf.dummyfunction("""COMPUTED_VALUE"""),0)</f>
        <v>0</v>
      </c>
      <c r="AL26" s="70" t="n">
        <f aca="false">IFERROR(__xludf.dummyfunction("""COMPUTED_VALUE"""),20125)</f>
        <v>20125</v>
      </c>
      <c r="AM26" s="70" t="n">
        <f aca="false">IFERROR(__xludf.dummyfunction("""COMPUTED_VALUE"""),212072)</f>
        <v>212072</v>
      </c>
      <c r="AN26" s="70" t="n">
        <f aca="false">IFERROR(__xludf.dummyfunction("""COMPUTED_VALUE"""),260)</f>
        <v>260</v>
      </c>
      <c r="AO26" s="70" t="n">
        <f aca="false">IFERROR(__xludf.dummyfunction("""COMPUTED_VALUE"""),77693)</f>
        <v>77693</v>
      </c>
      <c r="AP26" s="70" t="n">
        <f aca="false">IFERROR(__xludf.dummyfunction("""COMPUTED_VALUE"""),0)</f>
        <v>0</v>
      </c>
      <c r="AQ26" s="70" t="n">
        <f aca="false">IFERROR(__xludf.dummyfunction("""COMPUTED_VALUE"""),55160)</f>
        <v>55160</v>
      </c>
      <c r="AR26" s="70" t="n">
        <f aca="false">IFERROR(__xludf.dummyfunction("""COMPUTED_VALUE"""),0)</f>
        <v>0</v>
      </c>
      <c r="AS26" s="70" t="n">
        <f aca="false">IFERROR(__xludf.dummyfunction("""COMPUTED_VALUE"""),301)</f>
        <v>301</v>
      </c>
      <c r="AT26" s="70" t="n">
        <f aca="false">IFERROR(__xludf.dummyfunction("""COMPUTED_VALUE"""),134559)</f>
        <v>134559</v>
      </c>
      <c r="AU26" s="70" t="n">
        <f aca="false">IFERROR(__xludf.dummyfunction("""COMPUTED_VALUE"""),29)</f>
        <v>29</v>
      </c>
      <c r="AV26" s="70" t="n">
        <f aca="false">IFERROR(__xludf.dummyfunction("""COMPUTED_VALUE"""),730)</f>
        <v>730</v>
      </c>
      <c r="AW26" s="70" t="n">
        <f aca="false">IFERROR(__xludf.dummyfunction("""COMPUTED_VALUE"""),20147)</f>
        <v>20147</v>
      </c>
      <c r="AX26" s="70" t="n">
        <f aca="false">IFERROR(__xludf.dummyfunction("""COMPUTED_VALUE"""),2)</f>
        <v>2</v>
      </c>
      <c r="AY26" s="70" t="n">
        <f aca="false">IFERROR(__xludf.dummyfunction("""COMPUTED_VALUE"""),0)</f>
        <v>0</v>
      </c>
      <c r="AZ26" s="70" t="n">
        <f aca="false">IFERROR(__xludf.dummyfunction("""COMPUTED_VALUE"""),1833)</f>
        <v>1833</v>
      </c>
      <c r="BA26" s="70" t="n">
        <f aca="false">IFERROR(__xludf.dummyfunction("""COMPUTED_VALUE"""),202)</f>
        <v>202</v>
      </c>
    </row>
    <row r="27" customFormat="false" ht="15.75" hidden="false" customHeight="false" outlineLevel="0" collapsed="false">
      <c r="A27" s="71" t="str">
        <f aca="false">IFERROR(__xludf.dummyfunction("""COMPUTED_VALUE"""),"frontage_ft")</f>
        <v>frontage_ft</v>
      </c>
      <c r="B27" s="72" t="n">
        <f aca="false">IFERROR(__xludf.dummyfunction("""COMPUTED_VALUE"""),29094264)</f>
        <v>29094264</v>
      </c>
      <c r="C27" s="73" t="n">
        <f aca="false">IFERROR(__xludf.dummyfunction("""COMPUTED_VALUE"""),935491)</f>
        <v>935491</v>
      </c>
      <c r="D27" s="70" t="n">
        <f aca="false">IFERROR(__xludf.dummyfunction("""COMPUTED_VALUE"""),2540)</f>
        <v>2540</v>
      </c>
      <c r="E27" s="70" t="n">
        <f aca="false">IFERROR(__xludf.dummyfunction("""COMPUTED_VALUE"""),398)</f>
        <v>398</v>
      </c>
      <c r="F27" s="70" t="n">
        <f aca="false">IFERROR(__xludf.dummyfunction("""COMPUTED_VALUE"""),149089)</f>
        <v>149089</v>
      </c>
      <c r="G27" s="70" t="n">
        <f aca="false">IFERROR(__xludf.dummyfunction("""COMPUTED_VALUE"""),494881)</f>
        <v>494881</v>
      </c>
      <c r="H27" s="70" t="n">
        <f aca="false">IFERROR(__xludf.dummyfunction("""COMPUTED_VALUE"""),316606)</f>
        <v>316606</v>
      </c>
      <c r="I27" s="70" t="n">
        <f aca="false">IFERROR(__xludf.dummyfunction("""COMPUTED_VALUE"""),0)</f>
        <v>0</v>
      </c>
      <c r="J27" s="70" t="n">
        <f aca="false">IFERROR(__xludf.dummyfunction("""COMPUTED_VALUE"""),364788)</f>
        <v>364788</v>
      </c>
      <c r="K27" s="70" t="n">
        <f aca="false">IFERROR(__xludf.dummyfunction("""COMPUTED_VALUE"""),0)</f>
        <v>0</v>
      </c>
      <c r="L27" s="70" t="n">
        <f aca="false">IFERROR(__xludf.dummyfunction("""COMPUTED_VALUE"""),2318004)</f>
        <v>2318004</v>
      </c>
      <c r="M27" s="70" t="n">
        <f aca="false">IFERROR(__xludf.dummyfunction("""COMPUTED_VALUE"""),864222)</f>
        <v>864222</v>
      </c>
      <c r="N27" s="70" t="n">
        <f aca="false">IFERROR(__xludf.dummyfunction("""COMPUTED_VALUE"""),5161)</f>
        <v>5161</v>
      </c>
      <c r="O27" s="70" t="n">
        <f aca="false">IFERROR(__xludf.dummyfunction("""COMPUTED_VALUE"""),56795)</f>
        <v>56795</v>
      </c>
      <c r="P27" s="70" t="n">
        <f aca="false">IFERROR(__xludf.dummyfunction("""COMPUTED_VALUE"""),578213)</f>
        <v>578213</v>
      </c>
      <c r="Q27" s="70" t="n">
        <f aca="false">IFERROR(__xludf.dummyfunction("""COMPUTED_VALUE"""),1509817)</f>
        <v>1509817</v>
      </c>
      <c r="R27" s="70" t="n">
        <f aca="false">IFERROR(__xludf.dummyfunction("""COMPUTED_VALUE"""),606781)</f>
        <v>606781</v>
      </c>
      <c r="S27" s="70" t="n">
        <f aca="false">IFERROR(__xludf.dummyfunction("""COMPUTED_VALUE"""),486801)</f>
        <v>486801</v>
      </c>
      <c r="T27" s="70" t="n">
        <f aca="false">IFERROR(__xludf.dummyfunction("""COMPUTED_VALUE"""),411158)</f>
        <v>411158</v>
      </c>
      <c r="U27" s="70" t="n">
        <f aca="false">IFERROR(__xludf.dummyfunction("""COMPUTED_VALUE"""),183450)</f>
        <v>183450</v>
      </c>
      <c r="V27" s="70" t="n">
        <f aca="false">IFERROR(__xludf.dummyfunction("""COMPUTED_VALUE"""),0)</f>
        <v>0</v>
      </c>
      <c r="W27" s="70" t="n">
        <f aca="false">IFERROR(__xludf.dummyfunction("""COMPUTED_VALUE"""),135602)</f>
        <v>135602</v>
      </c>
      <c r="X27" s="70" t="n">
        <f aca="false">IFERROR(__xludf.dummyfunction("""COMPUTED_VALUE"""),0)</f>
        <v>0</v>
      </c>
      <c r="Y27" s="70" t="n">
        <f aca="false">IFERROR(__xludf.dummyfunction("""COMPUTED_VALUE"""),1953443)</f>
        <v>1953443</v>
      </c>
      <c r="Z27" s="70" t="n">
        <f aca="false">IFERROR(__xludf.dummyfunction("""COMPUTED_VALUE"""),657205)</f>
        <v>657205</v>
      </c>
      <c r="AA27" s="70" t="n">
        <f aca="false">IFERROR(__xludf.dummyfunction("""COMPUTED_VALUE"""),246148)</f>
        <v>246148</v>
      </c>
      <c r="AB27" s="70" t="n">
        <f aca="false">IFERROR(__xludf.dummyfunction("""COMPUTED_VALUE"""),1049403)</f>
        <v>1049403</v>
      </c>
      <c r="AC27" s="70" t="n">
        <f aca="false">IFERROR(__xludf.dummyfunction("""COMPUTED_VALUE"""),28153)</f>
        <v>28153</v>
      </c>
      <c r="AD27" s="70" t="n">
        <f aca="false">IFERROR(__xludf.dummyfunction("""COMPUTED_VALUE"""),428396)</f>
        <v>428396</v>
      </c>
      <c r="AE27" s="70" t="n">
        <f aca="false">IFERROR(__xludf.dummyfunction("""COMPUTED_VALUE"""),16470)</f>
        <v>16470</v>
      </c>
      <c r="AF27" s="70" t="n">
        <f aca="false">IFERROR(__xludf.dummyfunction("""COMPUTED_VALUE"""),0)</f>
        <v>0</v>
      </c>
      <c r="AG27" s="70" t="n">
        <f aca="false">IFERROR(__xludf.dummyfunction("""COMPUTED_VALUE"""),1669885)</f>
        <v>1669885</v>
      </c>
      <c r="AH27" s="70" t="n">
        <f aca="false">IFERROR(__xludf.dummyfunction("""COMPUTED_VALUE"""),73188)</f>
        <v>73188</v>
      </c>
      <c r="AI27" s="70" t="n">
        <f aca="false">IFERROR(__xludf.dummyfunction("""COMPUTED_VALUE"""),3223701)</f>
        <v>3223701</v>
      </c>
      <c r="AJ27" s="70" t="n">
        <f aca="false">IFERROR(__xludf.dummyfunction("""COMPUTED_VALUE"""),888309)</f>
        <v>888309</v>
      </c>
      <c r="AK27" s="70" t="n">
        <f aca="false">IFERROR(__xludf.dummyfunction("""COMPUTED_VALUE"""),60212)</f>
        <v>60212</v>
      </c>
      <c r="AL27" s="70" t="n">
        <f aca="false">IFERROR(__xludf.dummyfunction("""COMPUTED_VALUE"""),2171921)</f>
        <v>2171921</v>
      </c>
      <c r="AM27" s="70" t="n">
        <f aca="false">IFERROR(__xludf.dummyfunction("""COMPUTED_VALUE"""),503382)</f>
        <v>503382</v>
      </c>
      <c r="AN27" s="70" t="n">
        <f aca="false">IFERROR(__xludf.dummyfunction("""COMPUTED_VALUE"""),95438)</f>
        <v>95438</v>
      </c>
      <c r="AO27" s="70" t="n">
        <f aca="false">IFERROR(__xludf.dummyfunction("""COMPUTED_VALUE"""),1524202)</f>
        <v>1524202</v>
      </c>
      <c r="AP27" s="70" t="n">
        <f aca="false">IFERROR(__xludf.dummyfunction("""COMPUTED_VALUE"""),0)</f>
        <v>0</v>
      </c>
      <c r="AQ27" s="70" t="n">
        <f aca="false">IFERROR(__xludf.dummyfunction("""COMPUTED_VALUE"""),243312)</f>
        <v>243312</v>
      </c>
      <c r="AR27" s="70" t="n">
        <f aca="false">IFERROR(__xludf.dummyfunction("""COMPUTED_VALUE"""),109473)</f>
        <v>109473</v>
      </c>
      <c r="AS27" s="70" t="n">
        <f aca="false">IFERROR(__xludf.dummyfunction("""COMPUTED_VALUE"""),1613017)</f>
        <v>1613017</v>
      </c>
      <c r="AT27" s="70" t="n">
        <f aca="false">IFERROR(__xludf.dummyfunction("""COMPUTED_VALUE"""),2142305)</f>
        <v>2142305</v>
      </c>
      <c r="AU27" s="70" t="n">
        <f aca="false">IFERROR(__xludf.dummyfunction("""COMPUTED_VALUE"""),6628)</f>
        <v>6628</v>
      </c>
      <c r="AV27" s="70" t="n">
        <f aca="false">IFERROR(__xludf.dummyfunction("""COMPUTED_VALUE"""),37)</f>
        <v>37</v>
      </c>
      <c r="AW27" s="70" t="n">
        <f aca="false">IFERROR(__xludf.dummyfunction("""COMPUTED_VALUE"""),244725)</f>
        <v>244725</v>
      </c>
      <c r="AX27" s="70" t="n">
        <f aca="false">IFERROR(__xludf.dummyfunction("""COMPUTED_VALUE"""),146163)</f>
        <v>146163</v>
      </c>
      <c r="AY27" s="70" t="n">
        <f aca="false">IFERROR(__xludf.dummyfunction("""COMPUTED_VALUE"""),307783)</f>
        <v>307783</v>
      </c>
      <c r="AZ27" s="70" t="n">
        <f aca="false">IFERROR(__xludf.dummyfunction("""COMPUTED_VALUE"""),271232)</f>
        <v>271232</v>
      </c>
      <c r="BA27" s="70" t="n">
        <f aca="false">IFERROR(__xludf.dummyfunction("""COMPUTED_VALUE"""),336)</f>
        <v>336</v>
      </c>
    </row>
    <row r="28" customFormat="false" ht="15.75" hidden="false" customHeight="false" outlineLevel="0" collapsed="false">
      <c r="A28" s="71" t="str">
        <f aca="false">IFERROR(__xludf.dummyfunction("""COMPUTED_VALUE"""),"depth_ft")</f>
        <v>depth_ft</v>
      </c>
      <c r="B28" s="72" t="n">
        <f aca="false">IFERROR(__xludf.dummyfunction("""COMPUTED_VALUE"""),26989087)</f>
        <v>26989087</v>
      </c>
      <c r="C28" s="73" t="n">
        <f aca="false">IFERROR(__xludf.dummyfunction("""COMPUTED_VALUE"""),928944)</f>
        <v>928944</v>
      </c>
      <c r="D28" s="70" t="n">
        <f aca="false">IFERROR(__xludf.dummyfunction("""COMPUTED_VALUE"""),928)</f>
        <v>928</v>
      </c>
      <c r="E28" s="70" t="n">
        <f aca="false">IFERROR(__xludf.dummyfunction("""COMPUTED_VALUE"""),398)</f>
        <v>398</v>
      </c>
      <c r="F28" s="70" t="n">
        <f aca="false">IFERROR(__xludf.dummyfunction("""COMPUTED_VALUE"""),141484)</f>
        <v>141484</v>
      </c>
      <c r="G28" s="70" t="n">
        <f aca="false">IFERROR(__xludf.dummyfunction("""COMPUTED_VALUE"""),492840)</f>
        <v>492840</v>
      </c>
      <c r="H28" s="70" t="n">
        <f aca="false">IFERROR(__xludf.dummyfunction("""COMPUTED_VALUE"""),290542)</f>
        <v>290542</v>
      </c>
      <c r="I28" s="70" t="n">
        <f aca="false">IFERROR(__xludf.dummyfunction("""COMPUTED_VALUE"""),0)</f>
        <v>0</v>
      </c>
      <c r="J28" s="70" t="n">
        <f aca="false">IFERROR(__xludf.dummyfunction("""COMPUTED_VALUE"""),350352)</f>
        <v>350352</v>
      </c>
      <c r="K28" s="70" t="n">
        <f aca="false">IFERROR(__xludf.dummyfunction("""COMPUTED_VALUE"""),0)</f>
        <v>0</v>
      </c>
      <c r="L28" s="70" t="n">
        <f aca="false">IFERROR(__xludf.dummyfunction("""COMPUTED_VALUE"""),1902664)</f>
        <v>1902664</v>
      </c>
      <c r="M28" s="70" t="n">
        <f aca="false">IFERROR(__xludf.dummyfunction("""COMPUTED_VALUE"""),732645)</f>
        <v>732645</v>
      </c>
      <c r="N28" s="70" t="n">
        <f aca="false">IFERROR(__xludf.dummyfunction("""COMPUTED_VALUE"""),5160)</f>
        <v>5160</v>
      </c>
      <c r="O28" s="70" t="n">
        <f aca="false">IFERROR(__xludf.dummyfunction("""COMPUTED_VALUE"""),49809)</f>
        <v>49809</v>
      </c>
      <c r="P28" s="70" t="n">
        <f aca="false">IFERROR(__xludf.dummyfunction("""COMPUTED_VALUE"""),546404)</f>
        <v>546404</v>
      </c>
      <c r="Q28" s="70" t="n">
        <f aca="false">IFERROR(__xludf.dummyfunction("""COMPUTED_VALUE"""),1498308)</f>
        <v>1498308</v>
      </c>
      <c r="R28" s="70" t="n">
        <f aca="false">IFERROR(__xludf.dummyfunction("""COMPUTED_VALUE"""),540800)</f>
        <v>540800</v>
      </c>
      <c r="S28" s="70" t="n">
        <f aca="false">IFERROR(__xludf.dummyfunction("""COMPUTED_VALUE"""),483378)</f>
        <v>483378</v>
      </c>
      <c r="T28" s="70" t="n">
        <f aca="false">IFERROR(__xludf.dummyfunction("""COMPUTED_VALUE"""),305047)</f>
        <v>305047</v>
      </c>
      <c r="U28" s="70" t="n">
        <f aca="false">IFERROR(__xludf.dummyfunction("""COMPUTED_VALUE"""),180258)</f>
        <v>180258</v>
      </c>
      <c r="V28" s="70" t="n">
        <f aca="false">IFERROR(__xludf.dummyfunction("""COMPUTED_VALUE"""),0)</f>
        <v>0</v>
      </c>
      <c r="W28" s="70" t="n">
        <f aca="false">IFERROR(__xludf.dummyfunction("""COMPUTED_VALUE"""),133743)</f>
        <v>133743</v>
      </c>
      <c r="X28" s="70" t="n">
        <f aca="false">IFERROR(__xludf.dummyfunction("""COMPUTED_VALUE"""),0)</f>
        <v>0</v>
      </c>
      <c r="Y28" s="70" t="n">
        <f aca="false">IFERROR(__xludf.dummyfunction("""COMPUTED_VALUE"""),1904440)</f>
        <v>1904440</v>
      </c>
      <c r="Z28" s="70" t="n">
        <f aca="false">IFERROR(__xludf.dummyfunction("""COMPUTED_VALUE"""),653705)</f>
        <v>653705</v>
      </c>
      <c r="AA28" s="70" t="n">
        <f aca="false">IFERROR(__xludf.dummyfunction("""COMPUTED_VALUE"""),235627)</f>
        <v>235627</v>
      </c>
      <c r="AB28" s="70" t="n">
        <f aca="false">IFERROR(__xludf.dummyfunction("""COMPUTED_VALUE"""),945075)</f>
        <v>945075</v>
      </c>
      <c r="AC28" s="70" t="n">
        <f aca="false">IFERROR(__xludf.dummyfunction("""COMPUTED_VALUE"""),28150)</f>
        <v>28150</v>
      </c>
      <c r="AD28" s="70" t="n">
        <f aca="false">IFERROR(__xludf.dummyfunction("""COMPUTED_VALUE"""),433233)</f>
        <v>433233</v>
      </c>
      <c r="AE28" s="70" t="n">
        <f aca="false">IFERROR(__xludf.dummyfunction("""COMPUTED_VALUE"""),3727)</f>
        <v>3727</v>
      </c>
      <c r="AF28" s="70" t="n">
        <f aca="false">IFERROR(__xludf.dummyfunction("""COMPUTED_VALUE"""),0)</f>
        <v>0</v>
      </c>
      <c r="AG28" s="70" t="n">
        <f aca="false">IFERROR(__xludf.dummyfunction("""COMPUTED_VALUE"""),1669046)</f>
        <v>1669046</v>
      </c>
      <c r="AH28" s="70" t="n">
        <f aca="false">IFERROR(__xludf.dummyfunction("""COMPUTED_VALUE"""),72055)</f>
        <v>72055</v>
      </c>
      <c r="AI28" s="70" t="n">
        <f aca="false">IFERROR(__xludf.dummyfunction("""COMPUTED_VALUE"""),2938197)</f>
        <v>2938197</v>
      </c>
      <c r="AJ28" s="70" t="n">
        <f aca="false">IFERROR(__xludf.dummyfunction("""COMPUTED_VALUE"""),713731)</f>
        <v>713731</v>
      </c>
      <c r="AK28" s="70" t="n">
        <f aca="false">IFERROR(__xludf.dummyfunction("""COMPUTED_VALUE"""),60056)</f>
        <v>60056</v>
      </c>
      <c r="AL28" s="70" t="n">
        <f aca="false">IFERROR(__xludf.dummyfunction("""COMPUTED_VALUE"""),2001674)</f>
        <v>2001674</v>
      </c>
      <c r="AM28" s="70" t="n">
        <f aca="false">IFERROR(__xludf.dummyfunction("""COMPUTED_VALUE"""),487276)</f>
        <v>487276</v>
      </c>
      <c r="AN28" s="70" t="n">
        <f aca="false">IFERROR(__xludf.dummyfunction("""COMPUTED_VALUE"""),95319)</f>
        <v>95319</v>
      </c>
      <c r="AO28" s="70" t="n">
        <f aca="false">IFERROR(__xludf.dummyfunction("""COMPUTED_VALUE"""),1278218)</f>
        <v>1278218</v>
      </c>
      <c r="AP28" s="70" t="n">
        <f aca="false">IFERROR(__xludf.dummyfunction("""COMPUTED_VALUE"""),0)</f>
        <v>0</v>
      </c>
      <c r="AQ28" s="70" t="n">
        <f aca="false">IFERROR(__xludf.dummyfunction("""COMPUTED_VALUE"""),213336)</f>
        <v>213336</v>
      </c>
      <c r="AR28" s="70" t="n">
        <f aca="false">IFERROR(__xludf.dummyfunction("""COMPUTED_VALUE"""),109339)</f>
        <v>109339</v>
      </c>
      <c r="AS28" s="70" t="n">
        <f aca="false">IFERROR(__xludf.dummyfunction("""COMPUTED_VALUE"""),1629389)</f>
        <v>1629389</v>
      </c>
      <c r="AT28" s="70" t="n">
        <f aca="false">IFERROR(__xludf.dummyfunction("""COMPUTED_VALUE"""),2084820)</f>
        <v>2084820</v>
      </c>
      <c r="AU28" s="70" t="n">
        <f aca="false">IFERROR(__xludf.dummyfunction("""COMPUTED_VALUE"""),6576)</f>
        <v>6576</v>
      </c>
      <c r="AV28" s="70" t="n">
        <f aca="false">IFERROR(__xludf.dummyfunction("""COMPUTED_VALUE"""),37)</f>
        <v>37</v>
      </c>
      <c r="AW28" s="70" t="n">
        <f aca="false">IFERROR(__xludf.dummyfunction("""COMPUTED_VALUE"""),238171)</f>
        <v>238171</v>
      </c>
      <c r="AX28" s="70" t="n">
        <f aca="false">IFERROR(__xludf.dummyfunction("""COMPUTED_VALUE"""),51087)</f>
        <v>51087</v>
      </c>
      <c r="AY28" s="70" t="n">
        <f aca="false">IFERROR(__xludf.dummyfunction("""COMPUTED_VALUE"""),307722)</f>
        <v>307722</v>
      </c>
      <c r="AZ28" s="70" t="n">
        <f aca="false">IFERROR(__xludf.dummyfunction("""COMPUTED_VALUE"""),245056)</f>
        <v>245056</v>
      </c>
      <c r="BA28" s="70" t="n">
        <f aca="false">IFERROR(__xludf.dummyfunction("""COMPUTED_VALUE"""),321)</f>
        <v>321</v>
      </c>
    </row>
    <row r="29" customFormat="false" ht="15.75" hidden="false" customHeight="false" outlineLevel="0" collapsed="false">
      <c r="A29" s="71" t="str">
        <f aca="false">IFERROR(__xludf.dummyfunction("""COMPUTED_VALUE"""),"area_sq_ft")</f>
        <v>area_sq_ft</v>
      </c>
      <c r="B29" s="72" t="n">
        <f aca="false">IFERROR(__xludf.dummyfunction("""COMPUTED_VALUE"""),103094902)</f>
        <v>103094902</v>
      </c>
      <c r="C29" s="73" t="n">
        <f aca="false">IFERROR(__xludf.dummyfunction("""COMPUTED_VALUE"""),1706269)</f>
        <v>1706269</v>
      </c>
      <c r="D29" s="70" t="n">
        <f aca="false">IFERROR(__xludf.dummyfunction("""COMPUTED_VALUE"""),240794)</f>
        <v>240794</v>
      </c>
      <c r="E29" s="70" t="n">
        <f aca="false">IFERROR(__xludf.dummyfunction("""COMPUTED_VALUE"""),2364735)</f>
        <v>2364735</v>
      </c>
      <c r="F29" s="70" t="n">
        <f aca="false">IFERROR(__xludf.dummyfunction("""COMPUTED_VALUE"""),904578)</f>
        <v>904578</v>
      </c>
      <c r="G29" s="70" t="n">
        <f aca="false">IFERROR(__xludf.dummyfunction("""COMPUTED_VALUE"""),10008112)</f>
        <v>10008112</v>
      </c>
      <c r="H29" s="70" t="n">
        <f aca="false">IFERROR(__xludf.dummyfunction("""COMPUTED_VALUE"""),2191009)</f>
        <v>2191009</v>
      </c>
      <c r="I29" s="70" t="n">
        <f aca="false">IFERROR(__xludf.dummyfunction("""COMPUTED_VALUE"""),1033632)</f>
        <v>1033632</v>
      </c>
      <c r="J29" s="70" t="n">
        <f aca="false">IFERROR(__xludf.dummyfunction("""COMPUTED_VALUE"""),333550)</f>
        <v>333550</v>
      </c>
      <c r="K29" s="70" t="n">
        <f aca="false">IFERROR(__xludf.dummyfunction("""COMPUTED_VALUE"""),171172)</f>
        <v>171172</v>
      </c>
      <c r="L29" s="70" t="n">
        <f aca="false">IFERROR(__xludf.dummyfunction("""COMPUTED_VALUE"""),6907543)</f>
        <v>6907543</v>
      </c>
      <c r="M29" s="70" t="n">
        <f aca="false">IFERROR(__xludf.dummyfunction("""COMPUTED_VALUE"""),3627563)</f>
        <v>3627563</v>
      </c>
      <c r="N29" s="70" t="n">
        <f aca="false">IFERROR(__xludf.dummyfunction("""COMPUTED_VALUE"""),480755)</f>
        <v>480755</v>
      </c>
      <c r="O29" s="70" t="n">
        <f aca="false">IFERROR(__xludf.dummyfunction("""COMPUTED_VALUE"""),753048)</f>
        <v>753048</v>
      </c>
      <c r="P29" s="70" t="n">
        <f aca="false">IFERROR(__xludf.dummyfunction("""COMPUTED_VALUE"""),3512362)</f>
        <v>3512362</v>
      </c>
      <c r="Q29" s="70" t="n">
        <f aca="false">IFERROR(__xludf.dummyfunction("""COMPUTED_VALUE"""),2386111)</f>
        <v>2386111</v>
      </c>
      <c r="R29" s="70" t="n">
        <f aca="false">IFERROR(__xludf.dummyfunction("""COMPUTED_VALUE"""),1530262)</f>
        <v>1530262</v>
      </c>
      <c r="S29" s="70" t="n">
        <f aca="false">IFERROR(__xludf.dummyfunction("""COMPUTED_VALUE"""),902247)</f>
        <v>902247</v>
      </c>
      <c r="T29" s="70" t="n">
        <f aca="false">IFERROR(__xludf.dummyfunction("""COMPUTED_VALUE"""),1512567)</f>
        <v>1512567</v>
      </c>
      <c r="U29" s="70" t="n">
        <f aca="false">IFERROR(__xludf.dummyfunction("""COMPUTED_VALUE"""),851585)</f>
        <v>851585</v>
      </c>
      <c r="V29" s="70" t="n">
        <f aca="false">IFERROR(__xludf.dummyfunction("""COMPUTED_VALUE"""),609762)</f>
        <v>609762</v>
      </c>
      <c r="W29" s="70" t="n">
        <f aca="false">IFERROR(__xludf.dummyfunction("""COMPUTED_VALUE"""),1927252)</f>
        <v>1927252</v>
      </c>
      <c r="X29" s="70" t="n">
        <f aca="false">IFERROR(__xludf.dummyfunction("""COMPUTED_VALUE"""),1930572)</f>
        <v>1930572</v>
      </c>
      <c r="Y29" s="70" t="n">
        <f aca="false">IFERROR(__xludf.dummyfunction("""COMPUTED_VALUE"""),3544701)</f>
        <v>3544701</v>
      </c>
      <c r="Z29" s="70" t="n">
        <f aca="false">IFERROR(__xludf.dummyfunction("""COMPUTED_VALUE"""),1631968)</f>
        <v>1631968</v>
      </c>
      <c r="AA29" s="70" t="n">
        <f aca="false">IFERROR(__xludf.dummyfunction("""COMPUTED_VALUE"""),1097057)</f>
        <v>1097057</v>
      </c>
      <c r="AB29" s="70" t="n">
        <f aca="false">IFERROR(__xludf.dummyfunction("""COMPUTED_VALUE"""),2457242)</f>
        <v>2457242</v>
      </c>
      <c r="AC29" s="70" t="n">
        <f aca="false">IFERROR(__xludf.dummyfunction("""COMPUTED_VALUE"""),395153)</f>
        <v>395153</v>
      </c>
      <c r="AD29" s="70" t="n">
        <f aca="false">IFERROR(__xludf.dummyfunction("""COMPUTED_VALUE"""),717001)</f>
        <v>717001</v>
      </c>
      <c r="AE29" s="70" t="n">
        <f aca="false">IFERROR(__xludf.dummyfunction("""COMPUTED_VALUE"""),941916)</f>
        <v>941916</v>
      </c>
      <c r="AF29" s="70" t="n">
        <f aca="false">IFERROR(__xludf.dummyfunction("""COMPUTED_VALUE"""),472774)</f>
        <v>472774</v>
      </c>
      <c r="AG29" s="70" t="n">
        <f aca="false">IFERROR(__xludf.dummyfunction("""COMPUTED_VALUE"""),2418901)</f>
        <v>2418901</v>
      </c>
      <c r="AH29" s="70" t="n">
        <f aca="false">IFERROR(__xludf.dummyfunction("""COMPUTED_VALUE"""),885346)</f>
        <v>885346</v>
      </c>
      <c r="AI29" s="70" t="n">
        <f aca="false">IFERROR(__xludf.dummyfunction("""COMPUTED_VALUE"""),4344357)</f>
        <v>4344357</v>
      </c>
      <c r="AJ29" s="70" t="n">
        <f aca="false">IFERROR(__xludf.dummyfunction("""COMPUTED_VALUE"""),4217709)</f>
        <v>4217709</v>
      </c>
      <c r="AK29" s="70" t="n">
        <f aca="false">IFERROR(__xludf.dummyfunction("""COMPUTED_VALUE"""),166087)</f>
        <v>166087</v>
      </c>
      <c r="AL29" s="70" t="n">
        <f aca="false">IFERROR(__xludf.dummyfunction("""COMPUTED_VALUE"""),3724934)</f>
        <v>3724934</v>
      </c>
      <c r="AM29" s="70" t="n">
        <f aca="false">IFERROR(__xludf.dummyfunction("""COMPUTED_VALUE"""),1637754)</f>
        <v>1637754</v>
      </c>
      <c r="AN29" s="70" t="n">
        <f aca="false">IFERROR(__xludf.dummyfunction("""COMPUTED_VALUE"""),1311118)</f>
        <v>1311118</v>
      </c>
      <c r="AO29" s="70" t="n">
        <f aca="false">IFERROR(__xludf.dummyfunction("""COMPUTED_VALUE"""),4356062)</f>
        <v>4356062</v>
      </c>
      <c r="AP29" s="70" t="n">
        <f aca="false">IFERROR(__xludf.dummyfunction("""COMPUTED_VALUE"""),325181)</f>
        <v>325181</v>
      </c>
      <c r="AQ29" s="70" t="n">
        <f aca="false">IFERROR(__xludf.dummyfunction("""COMPUTED_VALUE"""),1514668)</f>
        <v>1514668</v>
      </c>
      <c r="AR29" s="70" t="n">
        <f aca="false">IFERROR(__xludf.dummyfunction("""COMPUTED_VALUE"""),271222)</f>
        <v>271222</v>
      </c>
      <c r="AS29" s="70" t="n">
        <f aca="false">IFERROR(__xludf.dummyfunction("""COMPUTED_VALUE"""),2734847)</f>
        <v>2734847</v>
      </c>
      <c r="AT29" s="70" t="n">
        <f aca="false">IFERROR(__xludf.dummyfunction("""COMPUTED_VALUE"""),8081884)</f>
        <v>8081884</v>
      </c>
      <c r="AU29" s="70" t="n">
        <f aca="false">IFERROR(__xludf.dummyfunction("""COMPUTED_VALUE"""),1093633)</f>
        <v>1093633</v>
      </c>
      <c r="AV29" s="70" t="n">
        <f aca="false">IFERROR(__xludf.dummyfunction("""COMPUTED_VALUE"""),326237)</f>
        <v>326237</v>
      </c>
      <c r="AW29" s="70" t="n">
        <f aca="false">IFERROR(__xludf.dummyfunction("""COMPUTED_VALUE"""),2742733)</f>
        <v>2742733</v>
      </c>
      <c r="AX29" s="70" t="n">
        <f aca="false">IFERROR(__xludf.dummyfunction("""COMPUTED_VALUE"""),2369340)</f>
        <v>2369340</v>
      </c>
      <c r="AY29" s="70" t="n">
        <f aca="false">IFERROR(__xludf.dummyfunction("""COMPUTED_VALUE"""),921983)</f>
        <v>921983</v>
      </c>
      <c r="AZ29" s="70" t="n">
        <f aca="false">IFERROR(__xludf.dummyfunction("""COMPUTED_VALUE"""),2270327)</f>
        <v>2270327</v>
      </c>
      <c r="BA29" s="70" t="n">
        <f aca="false">IFERROR(__xludf.dummyfunction("""COMPUTED_VALUE"""),229885)</f>
        <v>229885</v>
      </c>
    </row>
    <row r="30" customFormat="false" ht="15.75" hidden="false" customHeight="false" outlineLevel="0" collapsed="false">
      <c r="A30" s="71" t="str">
        <f aca="false">IFERROR(__xludf.dummyfunction("""COMPUTED_VALUE"""),"area_acres")</f>
        <v>area_acres</v>
      </c>
      <c r="B30" s="72" t="n">
        <f aca="false">IFERROR(__xludf.dummyfunction("""COMPUTED_VALUE"""),103088863)</f>
        <v>103088863</v>
      </c>
      <c r="C30" s="73" t="n">
        <f aca="false">IFERROR(__xludf.dummyfunction("""COMPUTED_VALUE"""),1706297)</f>
        <v>1706297</v>
      </c>
      <c r="D30" s="70" t="n">
        <f aca="false">IFERROR(__xludf.dummyfunction("""COMPUTED_VALUE"""),240750)</f>
        <v>240750</v>
      </c>
      <c r="E30" s="70" t="n">
        <f aca="false">IFERROR(__xludf.dummyfunction("""COMPUTED_VALUE"""),2364482)</f>
        <v>2364482</v>
      </c>
      <c r="F30" s="70" t="n">
        <f aca="false">IFERROR(__xludf.dummyfunction("""COMPUTED_VALUE"""),904581)</f>
        <v>904581</v>
      </c>
      <c r="G30" s="70" t="n">
        <f aca="false">IFERROR(__xludf.dummyfunction("""COMPUTED_VALUE"""),10007196)</f>
        <v>10007196</v>
      </c>
      <c r="H30" s="70" t="n">
        <f aca="false">IFERROR(__xludf.dummyfunction("""COMPUTED_VALUE"""),2191023)</f>
        <v>2191023</v>
      </c>
      <c r="I30" s="70" t="n">
        <f aca="false">IFERROR(__xludf.dummyfunction("""COMPUTED_VALUE"""),1033632)</f>
        <v>1033632</v>
      </c>
      <c r="J30" s="70" t="n">
        <f aca="false">IFERROR(__xludf.dummyfunction("""COMPUTED_VALUE"""),333550)</f>
        <v>333550</v>
      </c>
      <c r="K30" s="70" t="n">
        <f aca="false">IFERROR(__xludf.dummyfunction("""COMPUTED_VALUE"""),171172)</f>
        <v>171172</v>
      </c>
      <c r="L30" s="70" t="n">
        <f aca="false">IFERROR(__xludf.dummyfunction("""COMPUTED_VALUE"""),6904311)</f>
        <v>6904311</v>
      </c>
      <c r="M30" s="70" t="n">
        <f aca="false">IFERROR(__xludf.dummyfunction("""COMPUTED_VALUE"""),3627572)</f>
        <v>3627572</v>
      </c>
      <c r="N30" s="70" t="n">
        <f aca="false">IFERROR(__xludf.dummyfunction("""COMPUTED_VALUE"""),480750)</f>
        <v>480750</v>
      </c>
      <c r="O30" s="70" t="n">
        <f aca="false">IFERROR(__xludf.dummyfunction("""COMPUTED_VALUE"""),753066)</f>
        <v>753066</v>
      </c>
      <c r="P30" s="70" t="n">
        <f aca="false">IFERROR(__xludf.dummyfunction("""COMPUTED_VALUE"""),3515243)</f>
        <v>3515243</v>
      </c>
      <c r="Q30" s="70" t="n">
        <f aca="false">IFERROR(__xludf.dummyfunction("""COMPUTED_VALUE"""),2385812)</f>
        <v>2385812</v>
      </c>
      <c r="R30" s="70" t="n">
        <f aca="false">IFERROR(__xludf.dummyfunction("""COMPUTED_VALUE"""),1530262)</f>
        <v>1530262</v>
      </c>
      <c r="S30" s="70" t="n">
        <f aca="false">IFERROR(__xludf.dummyfunction("""COMPUTED_VALUE"""),902176)</f>
        <v>902176</v>
      </c>
      <c r="T30" s="70" t="n">
        <f aca="false">IFERROR(__xludf.dummyfunction("""COMPUTED_VALUE"""),1512770)</f>
        <v>1512770</v>
      </c>
      <c r="U30" s="70" t="n">
        <f aca="false">IFERROR(__xludf.dummyfunction("""COMPUTED_VALUE"""),851564)</f>
        <v>851564</v>
      </c>
      <c r="V30" s="70" t="n">
        <f aca="false">IFERROR(__xludf.dummyfunction("""COMPUTED_VALUE"""),609908)</f>
        <v>609908</v>
      </c>
      <c r="W30" s="70" t="n">
        <f aca="false">IFERROR(__xludf.dummyfunction("""COMPUTED_VALUE"""),1922688)</f>
        <v>1922688</v>
      </c>
      <c r="X30" s="70" t="n">
        <f aca="false">IFERROR(__xludf.dummyfunction("""COMPUTED_VALUE"""),1930572)</f>
        <v>1930572</v>
      </c>
      <c r="Y30" s="70" t="n">
        <f aca="false">IFERROR(__xludf.dummyfunction("""COMPUTED_VALUE"""),3545140)</f>
        <v>3545140</v>
      </c>
      <c r="Z30" s="70" t="n">
        <f aca="false">IFERROR(__xludf.dummyfunction("""COMPUTED_VALUE"""),1631964)</f>
        <v>1631964</v>
      </c>
      <c r="AA30" s="70" t="n">
        <f aca="false">IFERROR(__xludf.dummyfunction("""COMPUTED_VALUE"""),1097061)</f>
        <v>1097061</v>
      </c>
      <c r="AB30" s="70" t="n">
        <f aca="false">IFERROR(__xludf.dummyfunction("""COMPUTED_VALUE"""),2455391)</f>
        <v>2455391</v>
      </c>
      <c r="AC30" s="70" t="n">
        <f aca="false">IFERROR(__xludf.dummyfunction("""COMPUTED_VALUE"""),395153)</f>
        <v>395153</v>
      </c>
      <c r="AD30" s="70" t="n">
        <f aca="false">IFERROR(__xludf.dummyfunction("""COMPUTED_VALUE"""),716917)</f>
        <v>716917</v>
      </c>
      <c r="AE30" s="70" t="n">
        <f aca="false">IFERROR(__xludf.dummyfunction("""COMPUTED_VALUE"""),941900)</f>
        <v>941900</v>
      </c>
      <c r="AF30" s="70" t="n">
        <f aca="false">IFERROR(__xludf.dummyfunction("""COMPUTED_VALUE"""),472773)</f>
        <v>472773</v>
      </c>
      <c r="AG30" s="70" t="n">
        <f aca="false">IFERROR(__xludf.dummyfunction("""COMPUTED_VALUE"""),2418883)</f>
        <v>2418883</v>
      </c>
      <c r="AH30" s="70" t="n">
        <f aca="false">IFERROR(__xludf.dummyfunction("""COMPUTED_VALUE"""),885134)</f>
        <v>885134</v>
      </c>
      <c r="AI30" s="70" t="n">
        <f aca="false">IFERROR(__xludf.dummyfunction("""COMPUTED_VALUE"""),4344223)</f>
        <v>4344223</v>
      </c>
      <c r="AJ30" s="70" t="n">
        <f aca="false">IFERROR(__xludf.dummyfunction("""COMPUTED_VALUE"""),4216940)</f>
        <v>4216940</v>
      </c>
      <c r="AK30" s="70" t="n">
        <f aca="false">IFERROR(__xludf.dummyfunction("""COMPUTED_VALUE"""),166092)</f>
        <v>166092</v>
      </c>
      <c r="AL30" s="70" t="n">
        <f aca="false">IFERROR(__xludf.dummyfunction("""COMPUTED_VALUE"""),3725439)</f>
        <v>3725439</v>
      </c>
      <c r="AM30" s="70" t="n">
        <f aca="false">IFERROR(__xludf.dummyfunction("""COMPUTED_VALUE"""),1636298)</f>
        <v>1636298</v>
      </c>
      <c r="AN30" s="70" t="n">
        <f aca="false">IFERROR(__xludf.dummyfunction("""COMPUTED_VALUE"""),1311118)</f>
        <v>1311118</v>
      </c>
      <c r="AO30" s="70" t="n">
        <f aca="false">IFERROR(__xludf.dummyfunction("""COMPUTED_VALUE"""),4356615)</f>
        <v>4356615</v>
      </c>
      <c r="AP30" s="70" t="n">
        <f aca="false">IFERROR(__xludf.dummyfunction("""COMPUTED_VALUE"""),325181)</f>
        <v>325181</v>
      </c>
      <c r="AQ30" s="70" t="n">
        <f aca="false">IFERROR(__xludf.dummyfunction("""COMPUTED_VALUE"""),1514872)</f>
        <v>1514872</v>
      </c>
      <c r="AR30" s="70" t="n">
        <f aca="false">IFERROR(__xludf.dummyfunction("""COMPUTED_VALUE"""),271212)</f>
        <v>271212</v>
      </c>
      <c r="AS30" s="70" t="n">
        <f aca="false">IFERROR(__xludf.dummyfunction("""COMPUTED_VALUE"""),2734833)</f>
        <v>2734833</v>
      </c>
      <c r="AT30" s="70" t="n">
        <f aca="false">IFERROR(__xludf.dummyfunction("""COMPUTED_VALUE"""),8085417)</f>
        <v>8085417</v>
      </c>
      <c r="AU30" s="70" t="n">
        <f aca="false">IFERROR(__xludf.dummyfunction("""COMPUTED_VALUE"""),1093630)</f>
        <v>1093630</v>
      </c>
      <c r="AV30" s="70" t="n">
        <f aca="false">IFERROR(__xludf.dummyfunction("""COMPUTED_VALUE"""),326237)</f>
        <v>326237</v>
      </c>
      <c r="AW30" s="70" t="n">
        <f aca="false">IFERROR(__xludf.dummyfunction("""COMPUTED_VALUE"""),2742607)</f>
        <v>2742607</v>
      </c>
      <c r="AX30" s="70" t="n">
        <f aca="false">IFERROR(__xludf.dummyfunction("""COMPUTED_VALUE"""),2369329)</f>
        <v>2369329</v>
      </c>
      <c r="AY30" s="70" t="n">
        <f aca="false">IFERROR(__xludf.dummyfunction("""COMPUTED_VALUE"""),921505)</f>
        <v>921505</v>
      </c>
      <c r="AZ30" s="70" t="n">
        <f aca="false">IFERROR(__xludf.dummyfunction("""COMPUTED_VALUE"""),2270323)</f>
        <v>2270323</v>
      </c>
      <c r="BA30" s="70" t="n">
        <f aca="false">IFERROR(__xludf.dummyfunction("""COMPUTED_VALUE"""),229897)</f>
        <v>229897</v>
      </c>
    </row>
    <row r="31" customFormat="false" ht="15.75" hidden="false" customHeight="false" outlineLevel="0" collapsed="false">
      <c r="A31" s="71" t="str">
        <f aca="false">IFERROR(__xludf.dummyfunction("""COMPUTED_VALUE"""),"county_name")</f>
        <v>county_name</v>
      </c>
      <c r="B31" s="72" t="n">
        <f aca="false">IFERROR(__xludf.dummyfunction("""COMPUTED_VALUE"""),125842162)</f>
        <v>125842162</v>
      </c>
      <c r="C31" s="73" t="n">
        <f aca="false">IFERROR(__xludf.dummyfunction("""COMPUTED_VALUE"""),2564199)</f>
        <v>2564199</v>
      </c>
      <c r="D31" s="70" t="n">
        <f aca="false">IFERROR(__xludf.dummyfunction("""COMPUTED_VALUE"""),826229)</f>
        <v>826229</v>
      </c>
      <c r="E31" s="70" t="n">
        <f aca="false">IFERROR(__xludf.dummyfunction("""COMPUTED_VALUE"""),2509893)</f>
        <v>2509893</v>
      </c>
      <c r="F31" s="70" t="n">
        <f aca="false">IFERROR(__xludf.dummyfunction("""COMPUTED_VALUE"""),1315229)</f>
        <v>1315229</v>
      </c>
      <c r="G31" s="70" t="n">
        <f aca="false">IFERROR(__xludf.dummyfunction("""COMPUTED_VALUE"""),10677823)</f>
        <v>10677823</v>
      </c>
      <c r="H31" s="70" t="n">
        <f aca="false">IFERROR(__xludf.dummyfunction("""COMPUTED_VALUE"""),2546718)</f>
        <v>2546718</v>
      </c>
      <c r="I31" s="70" t="n">
        <f aca="false">IFERROR(__xludf.dummyfunction("""COMPUTED_VALUE"""),1245562)</f>
        <v>1245562</v>
      </c>
      <c r="J31" s="70" t="n">
        <f aca="false">IFERROR(__xludf.dummyfunction("""COMPUTED_VALUE"""),530175)</f>
        <v>530175</v>
      </c>
      <c r="K31" s="70" t="n">
        <f aca="false">IFERROR(__xludf.dummyfunction("""COMPUTED_VALUE"""),182248)</f>
        <v>182248</v>
      </c>
      <c r="L31" s="70" t="n">
        <f aca="false">IFERROR(__xludf.dummyfunction("""COMPUTED_VALUE"""),8417712)</f>
        <v>8417712</v>
      </c>
      <c r="M31" s="70" t="n">
        <f aca="false">IFERROR(__xludf.dummyfunction("""COMPUTED_VALUE"""),4424449)</f>
        <v>4424449</v>
      </c>
      <c r="N31" s="70" t="n">
        <f aca="false">IFERROR(__xludf.dummyfunction("""COMPUTED_VALUE"""),670067)</f>
        <v>670067</v>
      </c>
      <c r="O31" s="70" t="n">
        <f aca="false">IFERROR(__xludf.dummyfunction("""COMPUTED_VALUE"""),841049)</f>
        <v>841049</v>
      </c>
      <c r="P31" s="70" t="n">
        <f aca="false">IFERROR(__xludf.dummyfunction("""COMPUTED_VALUE"""),4516217)</f>
        <v>4516217</v>
      </c>
      <c r="Q31" s="70" t="n">
        <f aca="false">IFERROR(__xludf.dummyfunction("""COMPUTED_VALUE"""),2433165)</f>
        <v>2433165</v>
      </c>
      <c r="R31" s="70" t="n">
        <f aca="false">IFERROR(__xludf.dummyfunction("""COMPUTED_VALUE"""),1710017)</f>
        <v>1710017</v>
      </c>
      <c r="S31" s="70" t="n">
        <f aca="false">IFERROR(__xludf.dummyfunction("""COMPUTED_VALUE"""),1141858)</f>
        <v>1141858</v>
      </c>
      <c r="T31" s="70" t="n">
        <f aca="false">IFERROR(__xludf.dummyfunction("""COMPUTED_VALUE"""),2064428)</f>
        <v>2064428</v>
      </c>
      <c r="U31" s="70" t="n">
        <f aca="false">IFERROR(__xludf.dummyfunction("""COMPUTED_VALUE"""),1893823)</f>
        <v>1893823</v>
      </c>
      <c r="V31" s="70" t="n">
        <f aca="false">IFERROR(__xludf.dummyfunction("""COMPUTED_VALUE"""),685301)</f>
        <v>685301</v>
      </c>
      <c r="W31" s="70" t="n">
        <f aca="false">IFERROR(__xludf.dummyfunction("""COMPUTED_VALUE"""),2249569)</f>
        <v>2249569</v>
      </c>
      <c r="X31" s="70" t="n">
        <f aca="false">IFERROR(__xludf.dummyfunction("""COMPUTED_VALUE"""),2270540)</f>
        <v>2270540</v>
      </c>
      <c r="Y31" s="70" t="n">
        <f aca="false">IFERROR(__xludf.dummyfunction("""COMPUTED_VALUE"""),4271389)</f>
        <v>4271389</v>
      </c>
      <c r="Z31" s="70" t="n">
        <f aca="false">IFERROR(__xludf.dummyfunction("""COMPUTED_VALUE"""),2372898)</f>
        <v>2372898</v>
      </c>
      <c r="AA31" s="70" t="n">
        <f aca="false">IFERROR(__xludf.dummyfunction("""COMPUTED_VALUE"""),1541615)</f>
        <v>1541615</v>
      </c>
      <c r="AB31" s="70" t="n">
        <f aca="false">IFERROR(__xludf.dummyfunction("""COMPUTED_VALUE"""),2786034)</f>
        <v>2786034</v>
      </c>
      <c r="AC31" s="70" t="n">
        <f aca="false">IFERROR(__xludf.dummyfunction("""COMPUTED_VALUE"""),481360)</f>
        <v>481360</v>
      </c>
      <c r="AD31" s="70" t="n">
        <f aca="false">IFERROR(__xludf.dummyfunction("""COMPUTED_VALUE"""),785431)</f>
        <v>785431</v>
      </c>
      <c r="AE31" s="70" t="n">
        <f aca="false">IFERROR(__xludf.dummyfunction("""COMPUTED_VALUE"""),1017843)</f>
        <v>1017843</v>
      </c>
      <c r="AF31" s="70" t="n">
        <f aca="false">IFERROR(__xludf.dummyfunction("""COMPUTED_VALUE"""),596544)</f>
        <v>596544</v>
      </c>
      <c r="AG31" s="70" t="n">
        <f aca="false">IFERROR(__xludf.dummyfunction("""COMPUTED_VALUE"""),2878229)</f>
        <v>2878229</v>
      </c>
      <c r="AH31" s="70" t="n">
        <f aca="false">IFERROR(__xludf.dummyfunction("""COMPUTED_VALUE"""),1128724)</f>
        <v>1128724</v>
      </c>
      <c r="AI31" s="70" t="n">
        <f aca="false">IFERROR(__xludf.dummyfunction("""COMPUTED_VALUE"""),5814251)</f>
        <v>5814251</v>
      </c>
      <c r="AJ31" s="70" t="n">
        <f aca="false">IFERROR(__xludf.dummyfunction("""COMPUTED_VALUE"""),4696305)</f>
        <v>4696305</v>
      </c>
      <c r="AK31" s="70" t="n">
        <f aca="false">IFERROR(__xludf.dummyfunction("""COMPUTED_VALUE"""),297148)</f>
        <v>297148</v>
      </c>
      <c r="AL31" s="70" t="n">
        <f aca="false">IFERROR(__xludf.dummyfunction("""COMPUTED_VALUE"""),4415608)</f>
        <v>4415608</v>
      </c>
      <c r="AM31" s="70" t="n">
        <f aca="false">IFERROR(__xludf.dummyfunction("""COMPUTED_VALUE"""),2159170)</f>
        <v>2159170</v>
      </c>
      <c r="AN31" s="70" t="n">
        <f aca="false">IFERROR(__xludf.dummyfunction("""COMPUTED_VALUE"""),1658441)</f>
        <v>1658441</v>
      </c>
      <c r="AO31" s="70" t="n">
        <f aca="false">IFERROR(__xludf.dummyfunction("""COMPUTED_VALUE"""),5032928)</f>
        <v>5032928</v>
      </c>
      <c r="AP31" s="70" t="n">
        <f aca="false">IFERROR(__xludf.dummyfunction("""COMPUTED_VALUE"""),370776)</f>
        <v>370776</v>
      </c>
      <c r="AQ31" s="70" t="n">
        <f aca="false">IFERROR(__xludf.dummyfunction("""COMPUTED_VALUE"""),2544626)</f>
        <v>2544626</v>
      </c>
      <c r="AR31" s="70" t="n">
        <f aca="false">IFERROR(__xludf.dummyfunction("""COMPUTED_VALUE"""),360407)</f>
        <v>360407</v>
      </c>
      <c r="AS31" s="70" t="n">
        <f aca="false">IFERROR(__xludf.dummyfunction("""COMPUTED_VALUE"""),3434022)</f>
        <v>3434022</v>
      </c>
      <c r="AT31" s="70" t="n">
        <f aca="false">IFERROR(__xludf.dummyfunction("""COMPUTED_VALUE"""),9816760)</f>
        <v>9816760</v>
      </c>
      <c r="AU31" s="70" t="n">
        <f aca="false">IFERROR(__xludf.dummyfunction("""COMPUTED_VALUE"""),1145967)</f>
        <v>1145967</v>
      </c>
      <c r="AV31" s="70" t="n">
        <f aca="false">IFERROR(__xludf.dummyfunction("""COMPUTED_VALUE"""),370540)</f>
        <v>370540</v>
      </c>
      <c r="AW31" s="70" t="n">
        <f aca="false">IFERROR(__xludf.dummyfunction("""COMPUTED_VALUE"""),3517713)</f>
        <v>3517713</v>
      </c>
      <c r="AX31" s="70" t="n">
        <f aca="false">IFERROR(__xludf.dummyfunction("""COMPUTED_VALUE"""),2677642)</f>
        <v>2677642</v>
      </c>
      <c r="AY31" s="70" t="n">
        <f aca="false">IFERROR(__xludf.dummyfunction("""COMPUTED_VALUE"""),1079613)</f>
        <v>1079613</v>
      </c>
      <c r="AZ31" s="70" t="n">
        <f aca="false">IFERROR(__xludf.dummyfunction("""COMPUTED_VALUE"""),2588284)</f>
        <v>2588284</v>
      </c>
      <c r="BA31" s="70" t="n">
        <f aca="false">IFERROR(__xludf.dummyfunction("""COMPUTED_VALUE"""),268367)</f>
        <v>268367</v>
      </c>
    </row>
    <row r="32" customFormat="false" ht="15.75" hidden="false" customHeight="false" outlineLevel="0" collapsed="false">
      <c r="A32" s="71" t="str">
        <f aca="false">IFERROR(__xludf.dummyfunction("""COMPUTED_VALUE"""),"county_land_use_code")</f>
        <v>county_land_use_code</v>
      </c>
      <c r="B32" s="72" t="n">
        <f aca="false">IFERROR(__xludf.dummyfunction("""COMPUTED_VALUE"""),105354368)</f>
        <v>105354368</v>
      </c>
      <c r="C32" s="73" t="n">
        <f aca="false">IFERROR(__xludf.dummyfunction("""COMPUTED_VALUE"""),1829258)</f>
        <v>1829258</v>
      </c>
      <c r="D32" s="70" t="n">
        <f aca="false">IFERROR(__xludf.dummyfunction("""COMPUTED_VALUE"""),170922)</f>
        <v>170922</v>
      </c>
      <c r="E32" s="70" t="n">
        <f aca="false">IFERROR(__xludf.dummyfunction("""COMPUTED_VALUE"""),2444787)</f>
        <v>2444787</v>
      </c>
      <c r="F32" s="70" t="n">
        <f aca="false">IFERROR(__xludf.dummyfunction("""COMPUTED_VALUE"""),1198820)</f>
        <v>1198820</v>
      </c>
      <c r="G32" s="70" t="n">
        <f aca="false">IFERROR(__xludf.dummyfunction("""COMPUTED_VALUE"""),10252573)</f>
        <v>10252573</v>
      </c>
      <c r="H32" s="70" t="n">
        <f aca="false">IFERROR(__xludf.dummyfunction("""COMPUTED_VALUE"""),2047873)</f>
        <v>2047873</v>
      </c>
      <c r="I32" s="70" t="n">
        <f aca="false">IFERROR(__xludf.dummyfunction("""COMPUTED_VALUE"""),1151351)</f>
        <v>1151351</v>
      </c>
      <c r="J32" s="70" t="n">
        <f aca="false">IFERROR(__xludf.dummyfunction("""COMPUTED_VALUE"""),517192)</f>
        <v>517192</v>
      </c>
      <c r="K32" s="70" t="n">
        <f aca="false">IFERROR(__xludf.dummyfunction("""COMPUTED_VALUE"""),174466)</f>
        <v>174466</v>
      </c>
      <c r="L32" s="70" t="n">
        <f aca="false">IFERROR(__xludf.dummyfunction("""COMPUTED_VALUE"""),7959136)</f>
        <v>7959136</v>
      </c>
      <c r="M32" s="70" t="n">
        <f aca="false">IFERROR(__xludf.dummyfunction("""COMPUTED_VALUE"""),3500130)</f>
        <v>3500130</v>
      </c>
      <c r="N32" s="70" t="n">
        <f aca="false">IFERROR(__xludf.dummyfunction("""COMPUTED_VALUE"""),389465)</f>
        <v>389465</v>
      </c>
      <c r="O32" s="70" t="n">
        <f aca="false">IFERROR(__xludf.dummyfunction("""COMPUTED_VALUE"""),613452)</f>
        <v>613452</v>
      </c>
      <c r="P32" s="70" t="n">
        <f aca="false">IFERROR(__xludf.dummyfunction("""COMPUTED_VALUE"""),4185245)</f>
        <v>4185245</v>
      </c>
      <c r="Q32" s="70" t="n">
        <f aca="false">IFERROR(__xludf.dummyfunction("""COMPUTED_VALUE"""),2354388)</f>
        <v>2354388</v>
      </c>
      <c r="R32" s="70" t="n">
        <f aca="false">IFERROR(__xludf.dummyfunction("""COMPUTED_VALUE"""),1159780)</f>
        <v>1159780</v>
      </c>
      <c r="S32" s="70" t="n">
        <f aca="false">IFERROR(__xludf.dummyfunction("""COMPUTED_VALUE"""),986627)</f>
        <v>986627</v>
      </c>
      <c r="T32" s="70" t="n">
        <f aca="false">IFERROR(__xludf.dummyfunction("""COMPUTED_VALUE"""),585591)</f>
        <v>585591</v>
      </c>
      <c r="U32" s="70" t="n">
        <f aca="false">IFERROR(__xludf.dummyfunction("""COMPUTED_VALUE"""),1521279)</f>
        <v>1521279</v>
      </c>
      <c r="V32" s="70" t="n">
        <f aca="false">IFERROR(__xludf.dummyfunction("""COMPUTED_VALUE"""),484630)</f>
        <v>484630</v>
      </c>
      <c r="W32" s="70" t="n">
        <f aca="false">IFERROR(__xludf.dummyfunction("""COMPUTED_VALUE"""),1958558)</f>
        <v>1958558</v>
      </c>
      <c r="X32" s="70" t="n">
        <f aca="false">IFERROR(__xludf.dummyfunction("""COMPUTED_VALUE"""),2050153)</f>
        <v>2050153</v>
      </c>
      <c r="Y32" s="70" t="n">
        <f aca="false">IFERROR(__xludf.dummyfunction("""COMPUTED_VALUE"""),4112234)</f>
        <v>4112234</v>
      </c>
      <c r="Z32" s="70" t="n">
        <f aca="false">IFERROR(__xludf.dummyfunction("""COMPUTED_VALUE"""),1893681)</f>
        <v>1893681</v>
      </c>
      <c r="AA32" s="70" t="n">
        <f aca="false">IFERROR(__xludf.dummyfunction("""COMPUTED_VALUE"""),1084521)</f>
        <v>1084521</v>
      </c>
      <c r="AB32" s="70" t="n">
        <f aca="false">IFERROR(__xludf.dummyfunction("""COMPUTED_VALUE"""),1661281)</f>
        <v>1661281</v>
      </c>
      <c r="AC32" s="70" t="n">
        <f aca="false">IFERROR(__xludf.dummyfunction("""COMPUTED_VALUE"""),445757)</f>
        <v>445757</v>
      </c>
      <c r="AD32" s="70" t="n">
        <f aca="false">IFERROR(__xludf.dummyfunction("""COMPUTED_VALUE"""),517553)</f>
        <v>517553</v>
      </c>
      <c r="AE32" s="70" t="n">
        <f aca="false">IFERROR(__xludf.dummyfunction("""COMPUTED_VALUE"""),834007)</f>
        <v>834007</v>
      </c>
      <c r="AF32" s="70" t="n">
        <f aca="false">IFERROR(__xludf.dummyfunction("""COMPUTED_VALUE"""),534649)</f>
        <v>534649</v>
      </c>
      <c r="AG32" s="70" t="n">
        <f aca="false">IFERROR(__xludf.dummyfunction("""COMPUTED_VALUE"""),2637485)</f>
        <v>2637485</v>
      </c>
      <c r="AH32" s="70" t="n">
        <f aca="false">IFERROR(__xludf.dummyfunction("""COMPUTED_VALUE"""),574798)</f>
        <v>574798</v>
      </c>
      <c r="AI32" s="70" t="n">
        <f aca="false">IFERROR(__xludf.dummyfunction("""COMPUTED_VALUE"""),5247793)</f>
        <v>5247793</v>
      </c>
      <c r="AJ32" s="70" t="n">
        <f aca="false">IFERROR(__xludf.dummyfunction("""COMPUTED_VALUE"""),3478255)</f>
        <v>3478255</v>
      </c>
      <c r="AK32" s="70" t="n">
        <f aca="false">IFERROR(__xludf.dummyfunction("""COMPUTED_VALUE"""),95682)</f>
        <v>95682</v>
      </c>
      <c r="AL32" s="70" t="n">
        <f aca="false">IFERROR(__xludf.dummyfunction("""COMPUTED_VALUE"""),4142805)</f>
        <v>4142805</v>
      </c>
      <c r="AM32" s="70" t="n">
        <f aca="false">IFERROR(__xludf.dummyfunction("""COMPUTED_VALUE"""),1804892)</f>
        <v>1804892</v>
      </c>
      <c r="AN32" s="70" t="n">
        <f aca="false">IFERROR(__xludf.dummyfunction("""COMPUTED_VALUE"""),1420580)</f>
        <v>1420580</v>
      </c>
      <c r="AO32" s="70" t="n">
        <f aca="false">IFERROR(__xludf.dummyfunction("""COMPUTED_VALUE"""),4531276)</f>
        <v>4531276</v>
      </c>
      <c r="AP32" s="70" t="n">
        <f aca="false">IFERROR(__xludf.dummyfunction("""COMPUTED_VALUE"""),325839)</f>
        <v>325839</v>
      </c>
      <c r="AQ32" s="70" t="n">
        <f aca="false">IFERROR(__xludf.dummyfunction("""COMPUTED_VALUE"""),1895956)</f>
        <v>1895956</v>
      </c>
      <c r="AR32" s="70" t="n">
        <f aca="false">IFERROR(__xludf.dummyfunction("""COMPUTED_VALUE"""),240999)</f>
        <v>240999</v>
      </c>
      <c r="AS32" s="70" t="n">
        <f aca="false">IFERROR(__xludf.dummyfunction("""COMPUTED_VALUE"""),2426175)</f>
        <v>2426175</v>
      </c>
      <c r="AT32" s="70" t="n">
        <f aca="false">IFERROR(__xludf.dummyfunction("""COMPUTED_VALUE"""),9132667)</f>
        <v>9132667</v>
      </c>
      <c r="AU32" s="70" t="n">
        <f aca="false">IFERROR(__xludf.dummyfunction("""COMPUTED_VALUE"""),628743)</f>
        <v>628743</v>
      </c>
      <c r="AV32" s="70" t="n">
        <f aca="false">IFERROR(__xludf.dummyfunction("""COMPUTED_VALUE"""),254603)</f>
        <v>254603</v>
      </c>
      <c r="AW32" s="70" t="n">
        <f aca="false">IFERROR(__xludf.dummyfunction("""COMPUTED_VALUE"""),2678644)</f>
        <v>2678644</v>
      </c>
      <c r="AX32" s="70" t="n">
        <f aca="false">IFERROR(__xludf.dummyfunction("""COMPUTED_VALUE"""),2219229)</f>
        <v>2219229</v>
      </c>
      <c r="AY32" s="70" t="n">
        <f aca="false">IFERROR(__xludf.dummyfunction("""COMPUTED_VALUE"""),799234)</f>
        <v>799234</v>
      </c>
      <c r="AZ32" s="70" t="n">
        <f aca="false">IFERROR(__xludf.dummyfunction("""COMPUTED_VALUE"""),1961178)</f>
        <v>1961178</v>
      </c>
      <c r="BA32" s="70" t="n">
        <f aca="false">IFERROR(__xludf.dummyfunction("""COMPUTED_VALUE"""),238176)</f>
        <v>238176</v>
      </c>
    </row>
    <row r="33" customFormat="false" ht="15.75" hidden="false" customHeight="false" outlineLevel="0" collapsed="false">
      <c r="A33" s="71" t="str">
        <f aca="false">IFERROR(__xludf.dummyfunction("""COMPUTED_VALUE"""),"county_land_use_description")</f>
        <v>county_land_use_description</v>
      </c>
      <c r="B33" s="72" t="n">
        <f aca="false">IFERROR(__xludf.dummyfunction("""COMPUTED_VALUE"""),113529825)</f>
        <v>113529825</v>
      </c>
      <c r="C33" s="73" t="n">
        <f aca="false">IFERROR(__xludf.dummyfunction("""COMPUTED_VALUE"""),1987790)</f>
        <v>1987790</v>
      </c>
      <c r="D33" s="70" t="n">
        <f aca="false">IFERROR(__xludf.dummyfunction("""COMPUTED_VALUE"""),643983)</f>
        <v>643983</v>
      </c>
      <c r="E33" s="70" t="n">
        <f aca="false">IFERROR(__xludf.dummyfunction("""COMPUTED_VALUE"""),2452236)</f>
        <v>2452236</v>
      </c>
      <c r="F33" s="70" t="n">
        <f aca="false">IFERROR(__xludf.dummyfunction("""COMPUTED_VALUE"""),1198820)</f>
        <v>1198820</v>
      </c>
      <c r="G33" s="70" t="n">
        <f aca="false">IFERROR(__xludf.dummyfunction("""COMPUTED_VALUE"""),10289489)</f>
        <v>10289489</v>
      </c>
      <c r="H33" s="70" t="n">
        <f aca="false">IFERROR(__xludf.dummyfunction("""COMPUTED_VALUE"""),2374115)</f>
        <v>2374115</v>
      </c>
      <c r="I33" s="70" t="n">
        <f aca="false">IFERROR(__xludf.dummyfunction("""COMPUTED_VALUE"""),1151351)</f>
        <v>1151351</v>
      </c>
      <c r="J33" s="70" t="n">
        <f aca="false">IFERROR(__xludf.dummyfunction("""COMPUTED_VALUE"""),517192)</f>
        <v>517192</v>
      </c>
      <c r="K33" s="70" t="n">
        <f aca="false">IFERROR(__xludf.dummyfunction("""COMPUTED_VALUE"""),174466)</f>
        <v>174466</v>
      </c>
      <c r="L33" s="70" t="n">
        <f aca="false">IFERROR(__xludf.dummyfunction("""COMPUTED_VALUE"""),7983327)</f>
        <v>7983327</v>
      </c>
      <c r="M33" s="70" t="n">
        <f aca="false">IFERROR(__xludf.dummyfunction("""COMPUTED_VALUE"""),3820909)</f>
        <v>3820909</v>
      </c>
      <c r="N33" s="70" t="n">
        <f aca="false">IFERROR(__xludf.dummyfunction("""COMPUTED_VALUE"""),455417)</f>
        <v>455417</v>
      </c>
      <c r="O33" s="70" t="n">
        <f aca="false">IFERROR(__xludf.dummyfunction("""COMPUTED_VALUE"""),688552)</f>
        <v>688552</v>
      </c>
      <c r="P33" s="70" t="n">
        <f aca="false">IFERROR(__xludf.dummyfunction("""COMPUTED_VALUE"""),4269090)</f>
        <v>4269090</v>
      </c>
      <c r="Q33" s="70" t="n">
        <f aca="false">IFERROR(__xludf.dummyfunction("""COMPUTED_VALUE"""),2354515)</f>
        <v>2354515</v>
      </c>
      <c r="R33" s="70" t="n">
        <f aca="false">IFERROR(__xludf.dummyfunction("""COMPUTED_VALUE"""),1573098)</f>
        <v>1573098</v>
      </c>
      <c r="S33" s="70" t="n">
        <f aca="false">IFERROR(__xludf.dummyfunction("""COMPUTED_VALUE"""),1058669)</f>
        <v>1058669</v>
      </c>
      <c r="T33" s="70" t="n">
        <f aca="false">IFERROR(__xludf.dummyfunction("""COMPUTED_VALUE"""),1857790)</f>
        <v>1857790</v>
      </c>
      <c r="U33" s="70" t="n">
        <f aca="false">IFERROR(__xludf.dummyfunction("""COMPUTED_VALUE"""),1721527)</f>
        <v>1721527</v>
      </c>
      <c r="V33" s="70" t="n">
        <f aca="false">IFERROR(__xludf.dummyfunction("""COMPUTED_VALUE"""),542242)</f>
        <v>542242</v>
      </c>
      <c r="W33" s="70" t="n">
        <f aca="false">IFERROR(__xludf.dummyfunction("""COMPUTED_VALUE"""),1958558)</f>
        <v>1958558</v>
      </c>
      <c r="X33" s="70" t="n">
        <f aca="false">IFERROR(__xludf.dummyfunction("""COMPUTED_VALUE"""),2050331)</f>
        <v>2050331</v>
      </c>
      <c r="Y33" s="70" t="n">
        <f aca="false">IFERROR(__xludf.dummyfunction("""COMPUTED_VALUE"""),4113903)</f>
        <v>4113903</v>
      </c>
      <c r="Z33" s="70" t="n">
        <f aca="false">IFERROR(__xludf.dummyfunction("""COMPUTED_VALUE"""),2200652)</f>
        <v>2200652</v>
      </c>
      <c r="AA33" s="70" t="n">
        <f aca="false">IFERROR(__xludf.dummyfunction("""COMPUTED_VALUE"""),1127649)</f>
        <v>1127649</v>
      </c>
      <c r="AB33" s="70" t="n">
        <f aca="false">IFERROR(__xludf.dummyfunction("""COMPUTED_VALUE"""),2389327)</f>
        <v>2389327</v>
      </c>
      <c r="AC33" s="70" t="n">
        <f aca="false">IFERROR(__xludf.dummyfunction("""COMPUTED_VALUE"""),445875)</f>
        <v>445875</v>
      </c>
      <c r="AD33" s="70" t="n">
        <f aca="false">IFERROR(__xludf.dummyfunction("""COMPUTED_VALUE"""),712596)</f>
        <v>712596</v>
      </c>
      <c r="AE33" s="70" t="n">
        <f aca="false">IFERROR(__xludf.dummyfunction("""COMPUTED_VALUE"""),988912)</f>
        <v>988912</v>
      </c>
      <c r="AF33" s="70" t="n">
        <f aca="false">IFERROR(__xludf.dummyfunction("""COMPUTED_VALUE"""),534662)</f>
        <v>534662</v>
      </c>
      <c r="AG33" s="70" t="n">
        <f aca="false">IFERROR(__xludf.dummyfunction("""COMPUTED_VALUE"""),2637485)</f>
        <v>2637485</v>
      </c>
      <c r="AH33" s="70" t="n">
        <f aca="false">IFERROR(__xludf.dummyfunction("""COMPUTED_VALUE"""),835714)</f>
        <v>835714</v>
      </c>
      <c r="AI33" s="70" t="n">
        <f aca="false">IFERROR(__xludf.dummyfunction("""COMPUTED_VALUE"""),5247894)</f>
        <v>5247894</v>
      </c>
      <c r="AJ33" s="70" t="n">
        <f aca="false">IFERROR(__xludf.dummyfunction("""COMPUTED_VALUE"""),4087163)</f>
        <v>4087163</v>
      </c>
      <c r="AK33" s="70" t="n">
        <f aca="false">IFERROR(__xludf.dummyfunction("""COMPUTED_VALUE"""),241168)</f>
        <v>241168</v>
      </c>
      <c r="AL33" s="70" t="n">
        <f aca="false">IFERROR(__xludf.dummyfunction("""COMPUTED_VALUE"""),4169211)</f>
        <v>4169211</v>
      </c>
      <c r="AM33" s="70" t="n">
        <f aca="false">IFERROR(__xludf.dummyfunction("""COMPUTED_VALUE"""),1811579)</f>
        <v>1811579</v>
      </c>
      <c r="AN33" s="70" t="n">
        <f aca="false">IFERROR(__xludf.dummyfunction("""COMPUTED_VALUE"""),1461384)</f>
        <v>1461384</v>
      </c>
      <c r="AO33" s="70" t="n">
        <f aca="false">IFERROR(__xludf.dummyfunction("""COMPUTED_VALUE"""),4651208)</f>
        <v>4651208</v>
      </c>
      <c r="AP33" s="70" t="n">
        <f aca="false">IFERROR(__xludf.dummyfunction("""COMPUTED_VALUE"""),325839)</f>
        <v>325839</v>
      </c>
      <c r="AQ33" s="70" t="n">
        <f aca="false">IFERROR(__xludf.dummyfunction("""COMPUTED_VALUE"""),2249639)</f>
        <v>2249639</v>
      </c>
      <c r="AR33" s="70" t="n">
        <f aca="false">IFERROR(__xludf.dummyfunction("""COMPUTED_VALUE"""),313281)</f>
        <v>313281</v>
      </c>
      <c r="AS33" s="70" t="n">
        <f aca="false">IFERROR(__xludf.dummyfunction("""COMPUTED_VALUE"""),2782383)</f>
        <v>2782383</v>
      </c>
      <c r="AT33" s="70" t="n">
        <f aca="false">IFERROR(__xludf.dummyfunction("""COMPUTED_VALUE"""),9167511)</f>
        <v>9167511</v>
      </c>
      <c r="AU33" s="70" t="n">
        <f aca="false">IFERROR(__xludf.dummyfunction("""COMPUTED_VALUE"""),958964)</f>
        <v>958964</v>
      </c>
      <c r="AV33" s="70" t="n">
        <f aca="false">IFERROR(__xludf.dummyfunction("""COMPUTED_VALUE"""),257522)</f>
        <v>257522</v>
      </c>
      <c r="AW33" s="70" t="n">
        <f aca="false">IFERROR(__xludf.dummyfunction("""COMPUTED_VALUE"""),2925537)</f>
        <v>2925537</v>
      </c>
      <c r="AX33" s="70" t="n">
        <f aca="false">IFERROR(__xludf.dummyfunction("""COMPUTED_VALUE"""),2500087)</f>
        <v>2500087</v>
      </c>
      <c r="AY33" s="70" t="n">
        <f aca="false">IFERROR(__xludf.dummyfunction("""COMPUTED_VALUE"""),799235)</f>
        <v>799235</v>
      </c>
      <c r="AZ33" s="70" t="n">
        <f aca="false">IFERROR(__xludf.dummyfunction("""COMPUTED_VALUE"""),2214471)</f>
        <v>2214471</v>
      </c>
      <c r="BA33" s="70" t="n">
        <f aca="false">IFERROR(__xludf.dummyfunction("""COMPUTED_VALUE"""),238251)</f>
        <v>238251</v>
      </c>
    </row>
    <row r="34" customFormat="false" ht="15.75" hidden="false" customHeight="false" outlineLevel="0" collapsed="false">
      <c r="A34" s="71" t="str">
        <f aca="false">IFERROR(__xludf.dummyfunction("""COMPUTED_VALUE"""),"standardized_land_use_category")</f>
        <v>standardized_land_use_category</v>
      </c>
      <c r="B34" s="72" t="n">
        <f aca="false">IFERROR(__xludf.dummyfunction("""COMPUTED_VALUE"""),124621952)</f>
        <v>124621952</v>
      </c>
      <c r="C34" s="73" t="n">
        <f aca="false">IFERROR(__xludf.dummyfunction("""COMPUTED_VALUE"""),2395681)</f>
        <v>2395681</v>
      </c>
      <c r="D34" s="70" t="n">
        <f aca="false">IFERROR(__xludf.dummyfunction("""COMPUTED_VALUE"""),711675)</f>
        <v>711675</v>
      </c>
      <c r="E34" s="70" t="n">
        <f aca="false">IFERROR(__xludf.dummyfunction("""COMPUTED_VALUE"""),2502297)</f>
        <v>2502297</v>
      </c>
      <c r="F34" s="70" t="n">
        <f aca="false">IFERROR(__xludf.dummyfunction("""COMPUTED_VALUE"""),1315082)</f>
        <v>1315082</v>
      </c>
      <c r="G34" s="70" t="n">
        <f aca="false">IFERROR(__xludf.dummyfunction("""COMPUTED_VALUE"""),10615463)</f>
        <v>10615463</v>
      </c>
      <c r="H34" s="70" t="n">
        <f aca="false">IFERROR(__xludf.dummyfunction("""COMPUTED_VALUE"""),2536739)</f>
        <v>2536739</v>
      </c>
      <c r="I34" s="70" t="n">
        <f aca="false">IFERROR(__xludf.dummyfunction("""COMPUTED_VALUE"""),1244130)</f>
        <v>1244130</v>
      </c>
      <c r="J34" s="70" t="n">
        <f aca="false">IFERROR(__xludf.dummyfunction("""COMPUTED_VALUE"""),528066)</f>
        <v>528066</v>
      </c>
      <c r="K34" s="70" t="n">
        <f aca="false">IFERROR(__xludf.dummyfunction("""COMPUTED_VALUE"""),182248)</f>
        <v>182248</v>
      </c>
      <c r="L34" s="70" t="n">
        <f aca="false">IFERROR(__xludf.dummyfunction("""COMPUTED_VALUE"""),8345713)</f>
        <v>8345713</v>
      </c>
      <c r="M34" s="70" t="n">
        <f aca="false">IFERROR(__xludf.dummyfunction("""COMPUTED_VALUE"""),4418782)</f>
        <v>4418782</v>
      </c>
      <c r="N34" s="70" t="n">
        <f aca="false">IFERROR(__xludf.dummyfunction("""COMPUTED_VALUE"""),670032)</f>
        <v>670032</v>
      </c>
      <c r="O34" s="70" t="n">
        <f aca="false">IFERROR(__xludf.dummyfunction("""COMPUTED_VALUE"""),779674)</f>
        <v>779674</v>
      </c>
      <c r="P34" s="70" t="n">
        <f aca="false">IFERROR(__xludf.dummyfunction("""COMPUTED_VALUE"""),4511620)</f>
        <v>4511620</v>
      </c>
      <c r="Q34" s="70" t="n">
        <f aca="false">IFERROR(__xludf.dummyfunction("""COMPUTED_VALUE"""),2431987)</f>
        <v>2431987</v>
      </c>
      <c r="R34" s="70" t="n">
        <f aca="false">IFERROR(__xludf.dummyfunction("""COMPUTED_VALUE"""),1700603)</f>
        <v>1700603</v>
      </c>
      <c r="S34" s="70" t="n">
        <f aca="false">IFERROR(__xludf.dummyfunction("""COMPUTED_VALUE"""),1129873)</f>
        <v>1129873</v>
      </c>
      <c r="T34" s="70" t="n">
        <f aca="false">IFERROR(__xludf.dummyfunction("""COMPUTED_VALUE"""),2056640)</f>
        <v>2056640</v>
      </c>
      <c r="U34" s="70" t="n">
        <f aca="false">IFERROR(__xludf.dummyfunction("""COMPUTED_VALUE"""),1884244)</f>
        <v>1884244</v>
      </c>
      <c r="V34" s="70" t="n">
        <f aca="false">IFERROR(__xludf.dummyfunction("""COMPUTED_VALUE"""),616209)</f>
        <v>616209</v>
      </c>
      <c r="W34" s="70" t="n">
        <f aca="false">IFERROR(__xludf.dummyfunction("""COMPUTED_VALUE"""),2249569)</f>
        <v>2249569</v>
      </c>
      <c r="X34" s="70" t="n">
        <f aca="false">IFERROR(__xludf.dummyfunction("""COMPUTED_VALUE"""),2268530)</f>
        <v>2268530</v>
      </c>
      <c r="Y34" s="70" t="n">
        <f aca="false">IFERROR(__xludf.dummyfunction("""COMPUTED_VALUE"""),4269519)</f>
        <v>4269519</v>
      </c>
      <c r="Z34" s="70" t="n">
        <f aca="false">IFERROR(__xludf.dummyfunction("""COMPUTED_VALUE"""),2351794)</f>
        <v>2351794</v>
      </c>
      <c r="AA34" s="70" t="n">
        <f aca="false">IFERROR(__xludf.dummyfunction("""COMPUTED_VALUE"""),1434394)</f>
        <v>1434394</v>
      </c>
      <c r="AB34" s="70" t="n">
        <f aca="false">IFERROR(__xludf.dummyfunction("""COMPUTED_VALUE"""),2770995)</f>
        <v>2770995</v>
      </c>
      <c r="AC34" s="70" t="n">
        <f aca="false">IFERROR(__xludf.dummyfunction("""COMPUTED_VALUE"""),481209)</f>
        <v>481209</v>
      </c>
      <c r="AD34" s="70" t="n">
        <f aca="false">IFERROR(__xludf.dummyfunction("""COMPUTED_VALUE"""),784333)</f>
        <v>784333</v>
      </c>
      <c r="AE34" s="70" t="n">
        <f aca="false">IFERROR(__xludf.dummyfunction("""COMPUTED_VALUE"""),1012144)</f>
        <v>1012144</v>
      </c>
      <c r="AF34" s="70" t="n">
        <f aca="false">IFERROR(__xludf.dummyfunction("""COMPUTED_VALUE"""),595185)</f>
        <v>595185</v>
      </c>
      <c r="AG34" s="70" t="n">
        <f aca="false">IFERROR(__xludf.dummyfunction("""COMPUTED_VALUE"""),2878229)</f>
        <v>2878229</v>
      </c>
      <c r="AH34" s="70" t="n">
        <f aca="false">IFERROR(__xludf.dummyfunction("""COMPUTED_VALUE"""),987251)</f>
        <v>987251</v>
      </c>
      <c r="AI34" s="70" t="n">
        <f aca="false">IFERROR(__xludf.dummyfunction("""COMPUTED_VALUE"""),5811175)</f>
        <v>5811175</v>
      </c>
      <c r="AJ34" s="70" t="n">
        <f aca="false">IFERROR(__xludf.dummyfunction("""COMPUTED_VALUE"""),4607129)</f>
        <v>4607129</v>
      </c>
      <c r="AK34" s="70" t="n">
        <f aca="false">IFERROR(__xludf.dummyfunction("""COMPUTED_VALUE"""),291416)</f>
        <v>291416</v>
      </c>
      <c r="AL34" s="70" t="n">
        <f aca="false">IFERROR(__xludf.dummyfunction("""COMPUTED_VALUE"""),4402734)</f>
        <v>4402734</v>
      </c>
      <c r="AM34" s="70" t="n">
        <f aca="false">IFERROR(__xludf.dummyfunction("""COMPUTED_VALUE"""),2155880)</f>
        <v>2155880</v>
      </c>
      <c r="AN34" s="70" t="n">
        <f aca="false">IFERROR(__xludf.dummyfunction("""COMPUTED_VALUE"""),1651745)</f>
        <v>1651745</v>
      </c>
      <c r="AO34" s="70" t="n">
        <f aca="false">IFERROR(__xludf.dummyfunction("""COMPUTED_VALUE"""),5017840)</f>
        <v>5017840</v>
      </c>
      <c r="AP34" s="70" t="n">
        <f aca="false">IFERROR(__xludf.dummyfunction("""COMPUTED_VALUE"""),370394)</f>
        <v>370394</v>
      </c>
      <c r="AQ34" s="70" t="n">
        <f aca="false">IFERROR(__xludf.dummyfunction("""COMPUTED_VALUE"""),2516654)</f>
        <v>2516654</v>
      </c>
      <c r="AR34" s="70" t="n">
        <f aca="false">IFERROR(__xludf.dummyfunction("""COMPUTED_VALUE"""),351376)</f>
        <v>351376</v>
      </c>
      <c r="AS34" s="70" t="n">
        <f aca="false">IFERROR(__xludf.dummyfunction("""COMPUTED_VALUE"""),3431376)</f>
        <v>3431376</v>
      </c>
      <c r="AT34" s="70" t="n">
        <f aca="false">IFERROR(__xludf.dummyfunction("""COMPUTED_VALUE"""),9801200)</f>
        <v>9801200</v>
      </c>
      <c r="AU34" s="70" t="n">
        <f aca="false">IFERROR(__xludf.dummyfunction("""COMPUTED_VALUE"""),1123777)</f>
        <v>1123777</v>
      </c>
      <c r="AV34" s="70" t="n">
        <f aca="false">IFERROR(__xludf.dummyfunction("""COMPUTED_VALUE"""),341278)</f>
        <v>341278</v>
      </c>
      <c r="AW34" s="70" t="n">
        <f aca="false">IFERROR(__xludf.dummyfunction("""COMPUTED_VALUE"""),3506841)</f>
        <v>3506841</v>
      </c>
      <c r="AX34" s="70" t="n">
        <f aca="false">IFERROR(__xludf.dummyfunction("""COMPUTED_VALUE"""),2652717)</f>
        <v>2652717</v>
      </c>
      <c r="AY34" s="70" t="n">
        <f aca="false">IFERROR(__xludf.dummyfunction("""COMPUTED_VALUE"""),1074600)</f>
        <v>1074600</v>
      </c>
      <c r="AZ34" s="70" t="n">
        <f aca="false">IFERROR(__xludf.dummyfunction("""COMPUTED_VALUE"""),2568753)</f>
        <v>2568753</v>
      </c>
      <c r="BA34" s="70" t="n">
        <f aca="false">IFERROR(__xludf.dummyfunction("""COMPUTED_VALUE"""),267901)</f>
        <v>267901</v>
      </c>
    </row>
    <row r="35" customFormat="false" ht="15.75" hidden="false" customHeight="false" outlineLevel="0" collapsed="false">
      <c r="A35" s="71" t="str">
        <f aca="false">IFERROR(__xludf.dummyfunction("""COMPUTED_VALUE"""),"standardized_land_use_type")</f>
        <v>standardized_land_use_type</v>
      </c>
      <c r="B35" s="72" t="n">
        <f aca="false">IFERROR(__xludf.dummyfunction("""COMPUTED_VALUE"""),124931080)</f>
        <v>124931080</v>
      </c>
      <c r="C35" s="73" t="n">
        <f aca="false">IFERROR(__xludf.dummyfunction("""COMPUTED_VALUE"""),2423353)</f>
        <v>2423353</v>
      </c>
      <c r="D35" s="70" t="n">
        <f aca="false">IFERROR(__xludf.dummyfunction("""COMPUTED_VALUE"""),712993)</f>
        <v>712993</v>
      </c>
      <c r="E35" s="70" t="n">
        <f aca="false">IFERROR(__xludf.dummyfunction("""COMPUTED_VALUE"""),2503481)</f>
        <v>2503481</v>
      </c>
      <c r="F35" s="70" t="n">
        <f aca="false">IFERROR(__xludf.dummyfunction("""COMPUTED_VALUE"""),1315089)</f>
        <v>1315089</v>
      </c>
      <c r="G35" s="70" t="n">
        <f aca="false">IFERROR(__xludf.dummyfunction("""COMPUTED_VALUE"""),10642772)</f>
        <v>10642772</v>
      </c>
      <c r="H35" s="70" t="n">
        <f aca="false">IFERROR(__xludf.dummyfunction("""COMPUTED_VALUE"""),2541134)</f>
        <v>2541134</v>
      </c>
      <c r="I35" s="70" t="n">
        <f aca="false">IFERROR(__xludf.dummyfunction("""COMPUTED_VALUE"""),1244243)</f>
        <v>1244243</v>
      </c>
      <c r="J35" s="70" t="n">
        <f aca="false">IFERROR(__xludf.dummyfunction("""COMPUTED_VALUE"""),528070)</f>
        <v>528070</v>
      </c>
      <c r="K35" s="70" t="n">
        <f aca="false">IFERROR(__xludf.dummyfunction("""COMPUTED_VALUE"""),182248)</f>
        <v>182248</v>
      </c>
      <c r="L35" s="70" t="n">
        <f aca="false">IFERROR(__xludf.dummyfunction("""COMPUTED_VALUE"""),8407953)</f>
        <v>8407953</v>
      </c>
      <c r="M35" s="70" t="n">
        <f aca="false">IFERROR(__xludf.dummyfunction("""COMPUTED_VALUE"""),4420901)</f>
        <v>4420901</v>
      </c>
      <c r="N35" s="70" t="n">
        <f aca="false">IFERROR(__xludf.dummyfunction("""COMPUTED_VALUE"""),670032)</f>
        <v>670032</v>
      </c>
      <c r="O35" s="70" t="n">
        <f aca="false">IFERROR(__xludf.dummyfunction("""COMPUTED_VALUE"""),793966)</f>
        <v>793966</v>
      </c>
      <c r="P35" s="70" t="n">
        <f aca="false">IFERROR(__xludf.dummyfunction("""COMPUTED_VALUE"""),4513213)</f>
        <v>4513213</v>
      </c>
      <c r="Q35" s="70" t="n">
        <f aca="false">IFERROR(__xludf.dummyfunction("""COMPUTED_VALUE"""),2433110)</f>
        <v>2433110</v>
      </c>
      <c r="R35" s="70" t="n">
        <f aca="false">IFERROR(__xludf.dummyfunction("""COMPUTED_VALUE"""),1700672)</f>
        <v>1700672</v>
      </c>
      <c r="S35" s="70" t="n">
        <f aca="false">IFERROR(__xludf.dummyfunction("""COMPUTED_VALUE"""),1141337)</f>
        <v>1141337</v>
      </c>
      <c r="T35" s="70" t="n">
        <f aca="false">IFERROR(__xludf.dummyfunction("""COMPUTED_VALUE"""),2058009)</f>
        <v>2058009</v>
      </c>
      <c r="U35" s="70" t="n">
        <f aca="false">IFERROR(__xludf.dummyfunction("""COMPUTED_VALUE"""),1885019)</f>
        <v>1885019</v>
      </c>
      <c r="V35" s="70" t="n">
        <f aca="false">IFERROR(__xludf.dummyfunction("""COMPUTED_VALUE"""),618133)</f>
        <v>618133</v>
      </c>
      <c r="W35" s="70" t="n">
        <f aca="false">IFERROR(__xludf.dummyfunction("""COMPUTED_VALUE"""),2249569)</f>
        <v>2249569</v>
      </c>
      <c r="X35" s="70" t="n">
        <f aca="false">IFERROR(__xludf.dummyfunction("""COMPUTED_VALUE"""),2270220)</f>
        <v>2270220</v>
      </c>
      <c r="Y35" s="70" t="n">
        <f aca="false">IFERROR(__xludf.dummyfunction("""COMPUTED_VALUE"""),4269519)</f>
        <v>4269519</v>
      </c>
      <c r="Z35" s="70" t="n">
        <f aca="false">IFERROR(__xludf.dummyfunction("""COMPUTED_VALUE"""),2357029)</f>
        <v>2357029</v>
      </c>
      <c r="AA35" s="70" t="n">
        <f aca="false">IFERROR(__xludf.dummyfunction("""COMPUTED_VALUE"""),1442163)</f>
        <v>1442163</v>
      </c>
      <c r="AB35" s="70" t="n">
        <f aca="false">IFERROR(__xludf.dummyfunction("""COMPUTED_VALUE"""),2771965)</f>
        <v>2771965</v>
      </c>
      <c r="AC35" s="70" t="n">
        <f aca="false">IFERROR(__xludf.dummyfunction("""COMPUTED_VALUE"""),481260)</f>
        <v>481260</v>
      </c>
      <c r="AD35" s="70" t="n">
        <f aca="false">IFERROR(__xludf.dummyfunction("""COMPUTED_VALUE"""),784442)</f>
        <v>784442</v>
      </c>
      <c r="AE35" s="70" t="n">
        <f aca="false">IFERROR(__xludf.dummyfunction("""COMPUTED_VALUE"""),1017615)</f>
        <v>1017615</v>
      </c>
      <c r="AF35" s="70" t="n">
        <f aca="false">IFERROR(__xludf.dummyfunction("""COMPUTED_VALUE"""),595558)</f>
        <v>595558</v>
      </c>
      <c r="AG35" s="70" t="n">
        <f aca="false">IFERROR(__xludf.dummyfunction("""COMPUTED_VALUE"""),2878229)</f>
        <v>2878229</v>
      </c>
      <c r="AH35" s="70" t="n">
        <f aca="false">IFERROR(__xludf.dummyfunction("""COMPUTED_VALUE"""),1045890)</f>
        <v>1045890</v>
      </c>
      <c r="AI35" s="70" t="n">
        <f aca="false">IFERROR(__xludf.dummyfunction("""COMPUTED_VALUE"""),5814132)</f>
        <v>5814132</v>
      </c>
      <c r="AJ35" s="70" t="n">
        <f aca="false">IFERROR(__xludf.dummyfunction("""COMPUTED_VALUE"""),4634605)</f>
        <v>4634605</v>
      </c>
      <c r="AK35" s="70" t="n">
        <f aca="false">IFERROR(__xludf.dummyfunction("""COMPUTED_VALUE"""),291690)</f>
        <v>291690</v>
      </c>
      <c r="AL35" s="70" t="n">
        <f aca="false">IFERROR(__xludf.dummyfunction("""COMPUTED_VALUE"""),4408459)</f>
        <v>4408459</v>
      </c>
      <c r="AM35" s="70" t="n">
        <f aca="false">IFERROR(__xludf.dummyfunction("""COMPUTED_VALUE"""),2155983)</f>
        <v>2155983</v>
      </c>
      <c r="AN35" s="70" t="n">
        <f aca="false">IFERROR(__xludf.dummyfunction("""COMPUTED_VALUE"""),1655500)</f>
        <v>1655500</v>
      </c>
      <c r="AO35" s="70" t="n">
        <f aca="false">IFERROR(__xludf.dummyfunction("""COMPUTED_VALUE"""),5020353)</f>
        <v>5020353</v>
      </c>
      <c r="AP35" s="70" t="n">
        <f aca="false">IFERROR(__xludf.dummyfunction("""COMPUTED_VALUE"""),370449)</f>
        <v>370449</v>
      </c>
      <c r="AQ35" s="70" t="n">
        <f aca="false">IFERROR(__xludf.dummyfunction("""COMPUTED_VALUE"""),2519625)</f>
        <v>2519625</v>
      </c>
      <c r="AR35" s="70" t="n">
        <f aca="false">IFERROR(__xludf.dummyfunction("""COMPUTED_VALUE"""),352353)</f>
        <v>352353</v>
      </c>
      <c r="AS35" s="70" t="n">
        <f aca="false">IFERROR(__xludf.dummyfunction("""COMPUTED_VALUE"""),3431398)</f>
        <v>3431398</v>
      </c>
      <c r="AT35" s="70" t="n">
        <f aca="false">IFERROR(__xludf.dummyfunction("""COMPUTED_VALUE"""),9801615)</f>
        <v>9801615</v>
      </c>
      <c r="AU35" s="70" t="n">
        <f aca="false">IFERROR(__xludf.dummyfunction("""COMPUTED_VALUE"""),1127594)</f>
        <v>1127594</v>
      </c>
      <c r="AV35" s="70" t="n">
        <f aca="false">IFERROR(__xludf.dummyfunction("""COMPUTED_VALUE"""),341279)</f>
        <v>341279</v>
      </c>
      <c r="AW35" s="70" t="n">
        <f aca="false">IFERROR(__xludf.dummyfunction("""COMPUTED_VALUE"""),3510734)</f>
        <v>3510734</v>
      </c>
      <c r="AX35" s="70" t="n">
        <f aca="false">IFERROR(__xludf.dummyfunction("""COMPUTED_VALUE"""),2665911)</f>
        <v>2665911</v>
      </c>
      <c r="AY35" s="70" t="n">
        <f aca="false">IFERROR(__xludf.dummyfunction("""COMPUTED_VALUE"""),1074727)</f>
        <v>1074727</v>
      </c>
      <c r="AZ35" s="70" t="n">
        <f aca="false">IFERROR(__xludf.dummyfunction("""COMPUTED_VALUE"""),2570312)</f>
        <v>2570312</v>
      </c>
      <c r="BA35" s="70" t="n">
        <f aca="false">IFERROR(__xludf.dummyfunction("""COMPUTED_VALUE"""),267918)</f>
        <v>267918</v>
      </c>
    </row>
    <row r="36" customFormat="false" ht="15.75" hidden="false" customHeight="false" outlineLevel="0" collapsed="false">
      <c r="A36" s="71" t="str">
        <f aca="false">IFERROR(__xludf.dummyfunction("""COMPUTED_VALUE"""),"location_descriptions")</f>
        <v>location_descriptions</v>
      </c>
      <c r="B36" s="72" t="n">
        <f aca="false">IFERROR(__xludf.dummyfunction("""COMPUTED_VALUE"""),20573308)</f>
        <v>20573308</v>
      </c>
      <c r="C36" s="73" t="n">
        <f aca="false">IFERROR(__xludf.dummyfunction("""COMPUTED_VALUE"""),276731)</f>
        <v>276731</v>
      </c>
      <c r="D36" s="70" t="n">
        <f aca="false">IFERROR(__xludf.dummyfunction("""COMPUTED_VALUE"""),86571)</f>
        <v>86571</v>
      </c>
      <c r="E36" s="70" t="n">
        <f aca="false">IFERROR(__xludf.dummyfunction("""COMPUTED_VALUE"""),38957)</f>
        <v>38957</v>
      </c>
      <c r="F36" s="70" t="n">
        <f aca="false">IFERROR(__xludf.dummyfunction("""COMPUTED_VALUE"""),0)</f>
        <v>0</v>
      </c>
      <c r="G36" s="70" t="n">
        <f aca="false">IFERROR(__xludf.dummyfunction("""COMPUTED_VALUE"""),2198107)</f>
        <v>2198107</v>
      </c>
      <c r="H36" s="70" t="n">
        <f aca="false">IFERROR(__xludf.dummyfunction("""COMPUTED_VALUE"""),224615)</f>
        <v>224615</v>
      </c>
      <c r="I36" s="70" t="n">
        <f aca="false">IFERROR(__xludf.dummyfunction("""COMPUTED_VALUE"""),1751)</f>
        <v>1751</v>
      </c>
      <c r="J36" s="70" t="n">
        <f aca="false">IFERROR(__xludf.dummyfunction("""COMPUTED_VALUE"""),65954)</f>
        <v>65954</v>
      </c>
      <c r="K36" s="70" t="n">
        <f aca="false">IFERROR(__xludf.dummyfunction("""COMPUTED_VALUE"""),87)</f>
        <v>87</v>
      </c>
      <c r="L36" s="70" t="n">
        <f aca="false">IFERROR(__xludf.dummyfunction("""COMPUTED_VALUE"""),813726)</f>
        <v>813726</v>
      </c>
      <c r="M36" s="70" t="n">
        <f aca="false">IFERROR(__xludf.dummyfunction("""COMPUTED_VALUE"""),1594020)</f>
        <v>1594020</v>
      </c>
      <c r="N36" s="70" t="n">
        <f aca="false">IFERROR(__xludf.dummyfunction("""COMPUTED_VALUE"""),153095)</f>
        <v>153095</v>
      </c>
      <c r="O36" s="70" t="n">
        <f aca="false">IFERROR(__xludf.dummyfunction("""COMPUTED_VALUE"""),13622)</f>
        <v>13622</v>
      </c>
      <c r="P36" s="70" t="n">
        <f aca="false">IFERROR(__xludf.dummyfunction("""COMPUTED_VALUE"""),118690)</f>
        <v>118690</v>
      </c>
      <c r="Q36" s="70" t="n">
        <f aca="false">IFERROR(__xludf.dummyfunction("""COMPUTED_VALUE"""),1892841)</f>
        <v>1892841</v>
      </c>
      <c r="R36" s="70" t="n">
        <f aca="false">IFERROR(__xludf.dummyfunction("""COMPUTED_VALUE"""),165662)</f>
        <v>165662</v>
      </c>
      <c r="S36" s="70" t="n">
        <f aca="false">IFERROR(__xludf.dummyfunction("""COMPUTED_VALUE"""),766996)</f>
        <v>766996</v>
      </c>
      <c r="T36" s="70" t="n">
        <f aca="false">IFERROR(__xludf.dummyfunction("""COMPUTED_VALUE"""),584082)</f>
        <v>584082</v>
      </c>
      <c r="U36" s="70" t="n">
        <f aca="false">IFERROR(__xludf.dummyfunction("""COMPUTED_VALUE"""),25836)</f>
        <v>25836</v>
      </c>
      <c r="V36" s="70" t="n">
        <f aca="false">IFERROR(__xludf.dummyfunction("""COMPUTED_VALUE"""),2430)</f>
        <v>2430</v>
      </c>
      <c r="W36" s="70" t="n">
        <f aca="false">IFERROR(__xludf.dummyfunction("""COMPUTED_VALUE"""),76893)</f>
        <v>76893</v>
      </c>
      <c r="X36" s="70" t="n">
        <f aca="false">IFERROR(__xludf.dummyfunction("""COMPUTED_VALUE"""),1794)</f>
        <v>1794</v>
      </c>
      <c r="Y36" s="70" t="n">
        <f aca="false">IFERROR(__xludf.dummyfunction("""COMPUTED_VALUE"""),348986)</f>
        <v>348986</v>
      </c>
      <c r="Z36" s="70" t="n">
        <f aca="false">IFERROR(__xludf.dummyfunction("""COMPUTED_VALUE"""),229927)</f>
        <v>229927</v>
      </c>
      <c r="AA36" s="70" t="n">
        <f aca="false">IFERROR(__xludf.dummyfunction("""COMPUTED_VALUE"""),30)</f>
        <v>30</v>
      </c>
      <c r="AB36" s="70" t="n">
        <f aca="false">IFERROR(__xludf.dummyfunction("""COMPUTED_VALUE"""),501312)</f>
        <v>501312</v>
      </c>
      <c r="AC36" s="70" t="n">
        <f aca="false">IFERROR(__xludf.dummyfunction("""COMPUTED_VALUE"""),415598)</f>
        <v>415598</v>
      </c>
      <c r="AD36" s="70" t="n">
        <f aca="false">IFERROR(__xludf.dummyfunction("""COMPUTED_VALUE"""),97495)</f>
        <v>97495</v>
      </c>
      <c r="AE36" s="70" t="n">
        <f aca="false">IFERROR(__xludf.dummyfunction("""COMPUTED_VALUE"""),2152)</f>
        <v>2152</v>
      </c>
      <c r="AF36" s="70" t="n">
        <f aca="false">IFERROR(__xludf.dummyfunction("""COMPUTED_VALUE"""),23837)</f>
        <v>23837</v>
      </c>
      <c r="AG36" s="70" t="n">
        <f aca="false">IFERROR(__xludf.dummyfunction("""COMPUTED_VALUE"""),176811)</f>
        <v>176811</v>
      </c>
      <c r="AH36" s="70" t="n">
        <f aca="false">IFERROR(__xludf.dummyfunction("""COMPUTED_VALUE"""),103865)</f>
        <v>103865</v>
      </c>
      <c r="AI36" s="70" t="n">
        <f aca="false">IFERROR(__xludf.dummyfunction("""COMPUTED_VALUE"""),914953)</f>
        <v>914953</v>
      </c>
      <c r="AJ36" s="70" t="n">
        <f aca="false">IFERROR(__xludf.dummyfunction("""COMPUTED_VALUE"""),451973)</f>
        <v>451973</v>
      </c>
      <c r="AK36" s="70" t="n">
        <f aca="false">IFERROR(__xludf.dummyfunction("""COMPUTED_VALUE"""),1)</f>
        <v>1</v>
      </c>
      <c r="AL36" s="70" t="n">
        <f aca="false">IFERROR(__xludf.dummyfunction("""COMPUTED_VALUE"""),1875918)</f>
        <v>1875918</v>
      </c>
      <c r="AM36" s="70" t="n">
        <f aca="false">IFERROR(__xludf.dummyfunction("""COMPUTED_VALUE"""),78449)</f>
        <v>78449</v>
      </c>
      <c r="AN36" s="70" t="n">
        <f aca="false">IFERROR(__xludf.dummyfunction("""COMPUTED_VALUE"""),17883)</f>
        <v>17883</v>
      </c>
      <c r="AO36" s="70" t="n">
        <f aca="false">IFERROR(__xludf.dummyfunction("""COMPUTED_VALUE"""),1599587)</f>
        <v>1599587</v>
      </c>
      <c r="AP36" s="70" t="n">
        <f aca="false">IFERROR(__xludf.dummyfunction("""COMPUTED_VALUE"""),1129)</f>
        <v>1129</v>
      </c>
      <c r="AQ36" s="70" t="n">
        <f aca="false">IFERROR(__xludf.dummyfunction("""COMPUTED_VALUE"""),205104)</f>
        <v>205104</v>
      </c>
      <c r="AR36" s="70" t="n">
        <f aca="false">IFERROR(__xludf.dummyfunction("""COMPUTED_VALUE"""),51182)</f>
        <v>51182</v>
      </c>
      <c r="AS36" s="70" t="n">
        <f aca="false">IFERROR(__xludf.dummyfunction("""COMPUTED_VALUE"""),1720258)</f>
        <v>1720258</v>
      </c>
      <c r="AT36" s="70" t="n">
        <f aca="false">IFERROR(__xludf.dummyfunction("""COMPUTED_VALUE"""),116112)</f>
        <v>116112</v>
      </c>
      <c r="AU36" s="70" t="n">
        <f aca="false">IFERROR(__xludf.dummyfunction("""COMPUTED_VALUE"""),353275)</f>
        <v>353275</v>
      </c>
      <c r="AV36" s="70" t="n">
        <f aca="false">IFERROR(__xludf.dummyfunction("""COMPUTED_VALUE"""),28)</f>
        <v>28</v>
      </c>
      <c r="AW36" s="70" t="n">
        <f aca="false">IFERROR(__xludf.dummyfunction("""COMPUTED_VALUE"""),720572)</f>
        <v>720572</v>
      </c>
      <c r="AX36" s="70" t="n">
        <f aca="false">IFERROR(__xludf.dummyfunction("""COMPUTED_VALUE"""),551658)</f>
        <v>551658</v>
      </c>
      <c r="AY36" s="70" t="n">
        <f aca="false">IFERROR(__xludf.dummyfunction("""COMPUTED_VALUE"""),755706)</f>
        <v>755706</v>
      </c>
      <c r="AZ36" s="70" t="n">
        <f aca="false">IFERROR(__xludf.dummyfunction("""COMPUTED_VALUE"""),136027)</f>
        <v>136027</v>
      </c>
      <c r="BA36" s="70" t="n">
        <f aca="false">IFERROR(__xludf.dummyfunction("""COMPUTED_VALUE"""),21020)</f>
        <v>21020</v>
      </c>
    </row>
    <row r="37" customFormat="false" ht="15.75" hidden="false" customHeight="false" outlineLevel="0" collapsed="false">
      <c r="A37" s="71" t="str">
        <f aca="false">IFERROR(__xludf.dummyfunction("""COMPUTED_VALUE"""),"zoning")</f>
        <v>zoning</v>
      </c>
      <c r="B37" s="72" t="n">
        <f aca="false">IFERROR(__xludf.dummyfunction("""COMPUTED_VALUE"""),44815172)</f>
        <v>44815172</v>
      </c>
      <c r="C37" s="73" t="n">
        <f aca="false">IFERROR(__xludf.dummyfunction("""COMPUTED_VALUE"""),437138)</f>
        <v>437138</v>
      </c>
      <c r="D37" s="70" t="n">
        <f aca="false">IFERROR(__xludf.dummyfunction("""COMPUTED_VALUE"""),149885)</f>
        <v>149885</v>
      </c>
      <c r="E37" s="70" t="n">
        <f aca="false">IFERROR(__xludf.dummyfunction("""COMPUTED_VALUE"""),1371586)</f>
        <v>1371586</v>
      </c>
      <c r="F37" s="70" t="n">
        <f aca="false">IFERROR(__xludf.dummyfunction("""COMPUTED_VALUE"""),571)</f>
        <v>571</v>
      </c>
      <c r="G37" s="70" t="n">
        <f aca="false">IFERROR(__xludf.dummyfunction("""COMPUTED_VALUE"""),5227090)</f>
        <v>5227090</v>
      </c>
      <c r="H37" s="70" t="n">
        <f aca="false">IFERROR(__xludf.dummyfunction("""COMPUTED_VALUE"""),680846)</f>
        <v>680846</v>
      </c>
      <c r="I37" s="70" t="n">
        <f aca="false">IFERROR(__xludf.dummyfunction("""COMPUTED_VALUE"""),1083245)</f>
        <v>1083245</v>
      </c>
      <c r="J37" s="70" t="n">
        <f aca="false">IFERROR(__xludf.dummyfunction("""COMPUTED_VALUE"""),362568)</f>
        <v>362568</v>
      </c>
      <c r="K37" s="70" t="n">
        <f aca="false">IFERROR(__xludf.dummyfunction("""COMPUTED_VALUE"""),112425)</f>
        <v>112425</v>
      </c>
      <c r="L37" s="70" t="n">
        <f aca="false">IFERROR(__xludf.dummyfunction("""COMPUTED_VALUE"""),4232860)</f>
        <v>4232860</v>
      </c>
      <c r="M37" s="70" t="n">
        <f aca="false">IFERROR(__xludf.dummyfunction("""COMPUTED_VALUE"""),2963642)</f>
        <v>2963642</v>
      </c>
      <c r="N37" s="70" t="n">
        <f aca="false">IFERROR(__xludf.dummyfunction("""COMPUTED_VALUE"""),586255)</f>
        <v>586255</v>
      </c>
      <c r="O37" s="70" t="n">
        <f aca="false">IFERROR(__xludf.dummyfunction("""COMPUTED_VALUE"""),228112)</f>
        <v>228112</v>
      </c>
      <c r="P37" s="70" t="n">
        <f aca="false">IFERROR(__xludf.dummyfunction("""COMPUTED_VALUE"""),282130)</f>
        <v>282130</v>
      </c>
      <c r="Q37" s="70" t="n">
        <f aca="false">IFERROR(__xludf.dummyfunction("""COMPUTED_VALUE"""),306727)</f>
        <v>306727</v>
      </c>
      <c r="R37" s="70" t="n">
        <f aca="false">IFERROR(__xludf.dummyfunction("""COMPUTED_VALUE"""),98499)</f>
        <v>98499</v>
      </c>
      <c r="S37" s="70" t="n">
        <f aca="false">IFERROR(__xludf.dummyfunction("""COMPUTED_VALUE"""),90382)</f>
        <v>90382</v>
      </c>
      <c r="T37" s="70" t="n">
        <f aca="false">IFERROR(__xludf.dummyfunction("""COMPUTED_VALUE"""),425797)</f>
        <v>425797</v>
      </c>
      <c r="U37" s="70" t="n">
        <f aca="false">IFERROR(__xludf.dummyfunction("""COMPUTED_VALUE"""),19598)</f>
        <v>19598</v>
      </c>
      <c r="V37" s="70" t="n">
        <f aca="false">IFERROR(__xludf.dummyfunction("""COMPUTED_VALUE"""),289103)</f>
        <v>289103</v>
      </c>
      <c r="W37" s="70" t="n">
        <f aca="false">IFERROR(__xludf.dummyfunction("""COMPUTED_VALUE"""),1622407)</f>
        <v>1622407</v>
      </c>
      <c r="X37" s="70" t="n">
        <f aca="false">IFERROR(__xludf.dummyfunction("""COMPUTED_VALUE"""),1437060)</f>
        <v>1437060</v>
      </c>
      <c r="Y37" s="70" t="n">
        <f aca="false">IFERROR(__xludf.dummyfunction("""COMPUTED_VALUE"""),2322507)</f>
        <v>2322507</v>
      </c>
      <c r="Z37" s="70" t="n">
        <f aca="false">IFERROR(__xludf.dummyfunction("""COMPUTED_VALUE"""),69479)</f>
        <v>69479</v>
      </c>
      <c r="AA37" s="70" t="n">
        <f aca="false">IFERROR(__xludf.dummyfunction("""COMPUTED_VALUE"""),4589)</f>
        <v>4589</v>
      </c>
      <c r="AB37" s="70" t="n">
        <f aca="false">IFERROR(__xludf.dummyfunction("""COMPUTED_VALUE"""),671374)</f>
        <v>671374</v>
      </c>
      <c r="AC37" s="70" t="n">
        <f aca="false">IFERROR(__xludf.dummyfunction("""COMPUTED_VALUE"""),172672)</f>
        <v>172672</v>
      </c>
      <c r="AD37" s="70" t="n">
        <f aca="false">IFERROR(__xludf.dummyfunction("""COMPUTED_VALUE"""),531844)</f>
        <v>531844</v>
      </c>
      <c r="AE37" s="70" t="n">
        <f aca="false">IFERROR(__xludf.dummyfunction("""COMPUTED_VALUE"""),262609)</f>
        <v>262609</v>
      </c>
      <c r="AF37" s="70" t="n">
        <f aca="false">IFERROR(__xludf.dummyfunction("""COMPUTED_VALUE"""),539861)</f>
        <v>539861</v>
      </c>
      <c r="AG37" s="70" t="n">
        <f aca="false">IFERROR(__xludf.dummyfunction("""COMPUTED_VALUE"""),1561857)</f>
        <v>1561857</v>
      </c>
      <c r="AH37" s="70" t="n">
        <f aca="false">IFERROR(__xludf.dummyfunction("""COMPUTED_VALUE"""),68920)</f>
        <v>68920</v>
      </c>
      <c r="AI37" s="70" t="n">
        <f aca="false">IFERROR(__xludf.dummyfunction("""COMPUTED_VALUE"""),3820980)</f>
        <v>3820980</v>
      </c>
      <c r="AJ37" s="70" t="n">
        <f aca="false">IFERROR(__xludf.dummyfunction("""COMPUTED_VALUE"""),2512786)</f>
        <v>2512786</v>
      </c>
      <c r="AK37" s="70" t="n">
        <f aca="false">IFERROR(__xludf.dummyfunction("""COMPUTED_VALUE"""),34170)</f>
        <v>34170</v>
      </c>
      <c r="AL37" s="70" t="n">
        <f aca="false">IFERROR(__xludf.dummyfunction("""COMPUTED_VALUE"""),534861)</f>
        <v>534861</v>
      </c>
      <c r="AM37" s="70" t="n">
        <f aca="false">IFERROR(__xludf.dummyfunction("""COMPUTED_VALUE"""),351925)</f>
        <v>351925</v>
      </c>
      <c r="AN37" s="70" t="n">
        <f aca="false">IFERROR(__xludf.dummyfunction("""COMPUTED_VALUE"""),936957)</f>
        <v>936957</v>
      </c>
      <c r="AO37" s="70" t="n">
        <f aca="false">IFERROR(__xludf.dummyfunction("""COMPUTED_VALUE"""),1648914)</f>
        <v>1648914</v>
      </c>
      <c r="AP37" s="70" t="n">
        <f aca="false">IFERROR(__xludf.dummyfunction("""COMPUTED_VALUE"""),289804)</f>
        <v>289804</v>
      </c>
      <c r="AQ37" s="70" t="n">
        <f aca="false">IFERROR(__xludf.dummyfunction("""COMPUTED_VALUE"""),502189)</f>
        <v>502189</v>
      </c>
      <c r="AR37" s="70" t="n">
        <f aca="false">IFERROR(__xludf.dummyfunction("""COMPUTED_VALUE"""),7617)</f>
        <v>7617</v>
      </c>
      <c r="AS37" s="70" t="n">
        <f aca="false">IFERROR(__xludf.dummyfunction("""COMPUTED_VALUE"""),959457)</f>
        <v>959457</v>
      </c>
      <c r="AT37" s="70" t="n">
        <f aca="false">IFERROR(__xludf.dummyfunction("""COMPUTED_VALUE"""),312196)</f>
        <v>312196</v>
      </c>
      <c r="AU37" s="70" t="n">
        <f aca="false">IFERROR(__xludf.dummyfunction("""COMPUTED_VALUE"""),490089)</f>
        <v>490089</v>
      </c>
      <c r="AV37" s="70" t="n">
        <f aca="false">IFERROR(__xludf.dummyfunction("""COMPUTED_VALUE"""),27797)</f>
        <v>27797</v>
      </c>
      <c r="AW37" s="70" t="n">
        <f aca="false">IFERROR(__xludf.dummyfunction("""COMPUTED_VALUE"""),2657580)</f>
        <v>2657580</v>
      </c>
      <c r="AX37" s="70" t="n">
        <f aca="false">IFERROR(__xludf.dummyfunction("""COMPUTED_VALUE"""),973162)</f>
        <v>973162</v>
      </c>
      <c r="AY37" s="70" t="n">
        <f aca="false">IFERROR(__xludf.dummyfunction("""COMPUTED_VALUE"""),13)</f>
        <v>13</v>
      </c>
      <c r="AZ37" s="70" t="n">
        <f aca="false">IFERROR(__xludf.dummyfunction("""COMPUTED_VALUE"""),535715)</f>
        <v>535715</v>
      </c>
      <c r="BA37" s="70" t="n">
        <f aca="false">IFERROR(__xludf.dummyfunction("""COMPUTED_VALUE"""),5322)</f>
        <v>5322</v>
      </c>
    </row>
    <row r="38" customFormat="false" ht="15.75" hidden="false" customHeight="false" outlineLevel="0" collapsed="false">
      <c r="A38" s="71" t="str">
        <f aca="false">IFERROR(__xludf.dummyfunction("""COMPUTED_VALUE"""),"building_count")</f>
        <v>building_count</v>
      </c>
      <c r="B38" s="72" t="n">
        <f aca="false">IFERROR(__xludf.dummyfunction("""COMPUTED_VALUE"""),18643327)</f>
        <v>18643327</v>
      </c>
      <c r="C38" s="73" t="n">
        <f aca="false">IFERROR(__xludf.dummyfunction("""COMPUTED_VALUE"""),337776)</f>
        <v>337776</v>
      </c>
      <c r="D38" s="70" t="n">
        <f aca="false">IFERROR(__xludf.dummyfunction("""COMPUTED_VALUE"""),115234)</f>
        <v>115234</v>
      </c>
      <c r="E38" s="70" t="n">
        <f aca="false">IFERROR(__xludf.dummyfunction("""COMPUTED_VALUE"""),103985)</f>
        <v>103985</v>
      </c>
      <c r="F38" s="70" t="n">
        <f aca="false">IFERROR(__xludf.dummyfunction("""COMPUTED_VALUE"""),124736)</f>
        <v>124736</v>
      </c>
      <c r="G38" s="70" t="n">
        <f aca="false">IFERROR(__xludf.dummyfunction("""COMPUTED_VALUE"""),830094)</f>
        <v>830094</v>
      </c>
      <c r="H38" s="70" t="n">
        <f aca="false">IFERROR(__xludf.dummyfunction("""COMPUTED_VALUE"""),236545)</f>
        <v>236545</v>
      </c>
      <c r="I38" s="70" t="n">
        <f aca="false">IFERROR(__xludf.dummyfunction("""COMPUTED_VALUE"""),1236536)</f>
        <v>1236536</v>
      </c>
      <c r="J38" s="70" t="n">
        <f aca="false">IFERROR(__xludf.dummyfunction("""COMPUTED_VALUE"""),7706)</f>
        <v>7706</v>
      </c>
      <c r="K38" s="70" t="n">
        <f aca="false">IFERROR(__xludf.dummyfunction("""COMPUTED_VALUE"""),7637)</f>
        <v>7637</v>
      </c>
      <c r="L38" s="70" t="n">
        <f aca="false">IFERROR(__xludf.dummyfunction("""COMPUTED_VALUE"""),1156111)</f>
        <v>1156111</v>
      </c>
      <c r="M38" s="70" t="n">
        <f aca="false">IFERROR(__xludf.dummyfunction("""COMPUTED_VALUE"""),759055)</f>
        <v>759055</v>
      </c>
      <c r="N38" s="70" t="n">
        <f aca="false">IFERROR(__xludf.dummyfunction("""COMPUTED_VALUE"""),234241)</f>
        <v>234241</v>
      </c>
      <c r="O38" s="70" t="n">
        <f aca="false">IFERROR(__xludf.dummyfunction("""COMPUTED_VALUE"""),49614)</f>
        <v>49614</v>
      </c>
      <c r="P38" s="70" t="n">
        <f aca="false">IFERROR(__xludf.dummyfunction("""COMPUTED_VALUE"""),123500)</f>
        <v>123500</v>
      </c>
      <c r="Q38" s="70" t="n">
        <f aca="false">IFERROR(__xludf.dummyfunction("""COMPUTED_VALUE"""),87004)</f>
        <v>87004</v>
      </c>
      <c r="R38" s="70" t="n">
        <f aca="false">IFERROR(__xludf.dummyfunction("""COMPUTED_VALUE"""),228524)</f>
        <v>228524</v>
      </c>
      <c r="S38" s="70" t="n">
        <f aca="false">IFERROR(__xludf.dummyfunction("""COMPUTED_VALUE"""),82696)</f>
        <v>82696</v>
      </c>
      <c r="T38" s="70" t="n">
        <f aca="false">IFERROR(__xludf.dummyfunction("""COMPUTED_VALUE"""),138423)</f>
        <v>138423</v>
      </c>
      <c r="U38" s="70" t="n">
        <f aca="false">IFERROR(__xludf.dummyfunction("""COMPUTED_VALUE"""),148490)</f>
        <v>148490</v>
      </c>
      <c r="V38" s="70" t="n">
        <f aca="false">IFERROR(__xludf.dummyfunction("""COMPUTED_VALUE"""),310223)</f>
        <v>310223</v>
      </c>
      <c r="W38" s="70" t="n">
        <f aca="false">IFERROR(__xludf.dummyfunction("""COMPUTED_VALUE"""),258312)</f>
        <v>258312</v>
      </c>
      <c r="X38" s="70" t="n">
        <f aca="false">IFERROR(__xludf.dummyfunction("""COMPUTED_VALUE"""),2106890)</f>
        <v>2106890</v>
      </c>
      <c r="Y38" s="70" t="n">
        <f aca="false">IFERROR(__xludf.dummyfunction("""COMPUTED_VALUE"""),604281)</f>
        <v>604281</v>
      </c>
      <c r="Z38" s="70" t="n">
        <f aca="false">IFERROR(__xludf.dummyfunction("""COMPUTED_VALUE"""),204928)</f>
        <v>204928</v>
      </c>
      <c r="AA38" s="70" t="n">
        <f aca="false">IFERROR(__xludf.dummyfunction("""COMPUTED_VALUE"""),180687)</f>
        <v>180687</v>
      </c>
      <c r="AB38" s="70" t="n">
        <f aca="false">IFERROR(__xludf.dummyfunction("""COMPUTED_VALUE"""),208294)</f>
        <v>208294</v>
      </c>
      <c r="AC38" s="70" t="n">
        <f aca="false">IFERROR(__xludf.dummyfunction("""COMPUTED_VALUE"""),43483)</f>
        <v>43483</v>
      </c>
      <c r="AD38" s="70" t="n">
        <f aca="false">IFERROR(__xludf.dummyfunction("""COMPUTED_VALUE"""),33333)</f>
        <v>33333</v>
      </c>
      <c r="AE38" s="70" t="n">
        <f aca="false">IFERROR(__xludf.dummyfunction("""COMPUTED_VALUE"""),44395)</f>
        <v>44395</v>
      </c>
      <c r="AF38" s="70" t="n">
        <f aca="false">IFERROR(__xludf.dummyfunction("""COMPUTED_VALUE"""),428398)</f>
        <v>428398</v>
      </c>
      <c r="AG38" s="70" t="n">
        <f aca="false">IFERROR(__xludf.dummyfunction("""COMPUTED_VALUE"""),437268)</f>
        <v>437268</v>
      </c>
      <c r="AH38" s="70" t="n">
        <f aca="false">IFERROR(__xludf.dummyfunction("""COMPUTED_VALUE"""),270448)</f>
        <v>270448</v>
      </c>
      <c r="AI38" s="70" t="n">
        <f aca="false">IFERROR(__xludf.dummyfunction("""COMPUTED_VALUE"""),1899058)</f>
        <v>1899058</v>
      </c>
      <c r="AJ38" s="70" t="n">
        <f aca="false">IFERROR(__xludf.dummyfunction("""COMPUTED_VALUE"""),359063)</f>
        <v>359063</v>
      </c>
      <c r="AK38" s="70" t="n">
        <f aca="false">IFERROR(__xludf.dummyfunction("""COMPUTED_VALUE"""),4486)</f>
        <v>4486</v>
      </c>
      <c r="AL38" s="70" t="n">
        <f aca="false">IFERROR(__xludf.dummyfunction("""COMPUTED_VALUE"""),593957)</f>
        <v>593957</v>
      </c>
      <c r="AM38" s="70" t="n">
        <f aca="false">IFERROR(__xludf.dummyfunction("""COMPUTED_VALUE"""),128079)</f>
        <v>128079</v>
      </c>
      <c r="AN38" s="70" t="n">
        <f aca="false">IFERROR(__xludf.dummyfunction("""COMPUTED_VALUE"""),334907)</f>
        <v>334907</v>
      </c>
      <c r="AO38" s="70" t="n">
        <f aca="false">IFERROR(__xludf.dummyfunction("""COMPUTED_VALUE"""),221670)</f>
        <v>221670</v>
      </c>
      <c r="AP38" s="70" t="n">
        <f aca="false">IFERROR(__xludf.dummyfunction("""COMPUTED_VALUE"""),368036)</f>
        <v>368036</v>
      </c>
      <c r="AQ38" s="70" t="n">
        <f aca="false">IFERROR(__xludf.dummyfunction("""COMPUTED_VALUE"""),324313)</f>
        <v>324313</v>
      </c>
      <c r="AR38" s="70" t="n">
        <f aca="false">IFERROR(__xludf.dummyfunction("""COMPUTED_VALUE"""),22191)</f>
        <v>22191</v>
      </c>
      <c r="AS38" s="70" t="n">
        <f aca="false">IFERROR(__xludf.dummyfunction("""COMPUTED_VALUE"""),336955)</f>
        <v>336955</v>
      </c>
      <c r="AT38" s="70" t="n">
        <f aca="false">IFERROR(__xludf.dummyfunction("""COMPUTED_VALUE"""),1983536)</f>
        <v>1983536</v>
      </c>
      <c r="AU38" s="70" t="n">
        <f aca="false">IFERROR(__xludf.dummyfunction("""COMPUTED_VALUE"""),140908)</f>
        <v>140908</v>
      </c>
      <c r="AV38" s="70" t="n">
        <f aca="false">IFERROR(__xludf.dummyfunction("""COMPUTED_VALUE"""),58608)</f>
        <v>58608</v>
      </c>
      <c r="AW38" s="70" t="n">
        <f aca="false">IFERROR(__xludf.dummyfunction("""COMPUTED_VALUE"""),261332)</f>
        <v>261332</v>
      </c>
      <c r="AX38" s="70" t="n">
        <f aca="false">IFERROR(__xludf.dummyfunction("""COMPUTED_VALUE"""),162996)</f>
        <v>162996</v>
      </c>
      <c r="AY38" s="70" t="n">
        <f aca="false">IFERROR(__xludf.dummyfunction("""COMPUTED_VALUE"""),231842)</f>
        <v>231842</v>
      </c>
      <c r="AZ38" s="70" t="n">
        <f aca="false">IFERROR(__xludf.dummyfunction("""COMPUTED_VALUE"""),39639)</f>
        <v>39639</v>
      </c>
      <c r="BA38" s="70" t="n">
        <f aca="false">IFERROR(__xludf.dummyfunction("""COMPUTED_VALUE"""),32902)</f>
        <v>32902</v>
      </c>
    </row>
    <row r="39" customFormat="false" ht="15.75" hidden="false" customHeight="false" outlineLevel="0" collapsed="false">
      <c r="A39" s="71" t="str">
        <f aca="false">IFERROR(__xludf.dummyfunction("""COMPUTED_VALUE"""),"tax_account_number")</f>
        <v>tax_account_number</v>
      </c>
      <c r="B39" s="72" t="n">
        <f aca="false">IFERROR(__xludf.dummyfunction("""COMPUTED_VALUE"""),44708932)</f>
        <v>44708932</v>
      </c>
      <c r="C39" s="73" t="n">
        <f aca="false">IFERROR(__xludf.dummyfunction("""COMPUTED_VALUE"""),1587732)</f>
        <v>1587732</v>
      </c>
      <c r="D39" s="70" t="n">
        <f aca="false">IFERROR(__xludf.dummyfunction("""COMPUTED_VALUE"""),47069)</f>
        <v>47069</v>
      </c>
      <c r="E39" s="70" t="n">
        <f aca="false">IFERROR(__xludf.dummyfunction("""COMPUTED_VALUE"""),343002)</f>
        <v>343002</v>
      </c>
      <c r="F39" s="70" t="n">
        <f aca="false">IFERROR(__xludf.dummyfunction("""COMPUTED_VALUE"""),52)</f>
        <v>52</v>
      </c>
      <c r="G39" s="70" t="n">
        <f aca="false">IFERROR(__xludf.dummyfunction("""COMPUTED_VALUE"""),696989)</f>
        <v>696989</v>
      </c>
      <c r="H39" s="70" t="n">
        <f aca="false">IFERROR(__xludf.dummyfunction("""COMPUTED_VALUE"""),1460714)</f>
        <v>1460714</v>
      </c>
      <c r="I39" s="70" t="n">
        <f aca="false">IFERROR(__xludf.dummyfunction("""COMPUTED_VALUE"""),1021365)</f>
        <v>1021365</v>
      </c>
      <c r="J39" s="70" t="n">
        <f aca="false">IFERROR(__xludf.dummyfunction("""COMPUTED_VALUE"""),65484)</f>
        <v>65484</v>
      </c>
      <c r="K39" s="70" t="n">
        <f aca="false">IFERROR(__xludf.dummyfunction("""COMPUTED_VALUE"""),0)</f>
        <v>0</v>
      </c>
      <c r="L39" s="70" t="n">
        <f aca="false">IFERROR(__xludf.dummyfunction("""COMPUTED_VALUE"""),2305924)</f>
        <v>2305924</v>
      </c>
      <c r="M39" s="70" t="n">
        <f aca="false">IFERROR(__xludf.dummyfunction("""COMPUTED_VALUE"""),2493608)</f>
        <v>2493608</v>
      </c>
      <c r="N39" s="70" t="n">
        <f aca="false">IFERROR(__xludf.dummyfunction("""COMPUTED_VALUE"""),0)</f>
        <v>0</v>
      </c>
      <c r="O39" s="70" t="n">
        <f aca="false">IFERROR(__xludf.dummyfunction("""COMPUTED_VALUE"""),165604)</f>
        <v>165604</v>
      </c>
      <c r="P39" s="70" t="n">
        <f aca="false">IFERROR(__xludf.dummyfunction("""COMPUTED_VALUE"""),274648)</f>
        <v>274648</v>
      </c>
      <c r="Q39" s="70" t="n">
        <f aca="false">IFERROR(__xludf.dummyfunction("""COMPUTED_VALUE"""),2339112)</f>
        <v>2339112</v>
      </c>
      <c r="R39" s="70" t="n">
        <f aca="false">IFERROR(__xludf.dummyfunction("""COMPUTED_VALUE"""),361)</f>
        <v>361</v>
      </c>
      <c r="S39" s="70" t="n">
        <f aca="false">IFERROR(__xludf.dummyfunction("""COMPUTED_VALUE"""),257963)</f>
        <v>257963</v>
      </c>
      <c r="T39" s="70" t="n">
        <f aca="false">IFERROR(__xludf.dummyfunction("""COMPUTED_VALUE"""),1366043)</f>
        <v>1366043</v>
      </c>
      <c r="U39" s="70" t="n">
        <f aca="false">IFERROR(__xludf.dummyfunction("""COMPUTED_VALUE"""),118475)</f>
        <v>118475</v>
      </c>
      <c r="V39" s="70" t="n">
        <f aca="false">IFERROR(__xludf.dummyfunction("""COMPUTED_VALUE"""),202951)</f>
        <v>202951</v>
      </c>
      <c r="W39" s="70" t="n">
        <f aca="false">IFERROR(__xludf.dummyfunction("""COMPUTED_VALUE"""),1958558)</f>
        <v>1958558</v>
      </c>
      <c r="X39" s="70" t="n">
        <f aca="false">IFERROR(__xludf.dummyfunction("""COMPUTED_VALUE"""),1044936)</f>
        <v>1044936</v>
      </c>
      <c r="Y39" s="70" t="n">
        <f aca="false">IFERROR(__xludf.dummyfunction("""COMPUTED_VALUE"""),51)</f>
        <v>51</v>
      </c>
      <c r="Z39" s="70" t="n">
        <f aca="false">IFERROR(__xludf.dummyfunction("""COMPUTED_VALUE"""),361126)</f>
        <v>361126</v>
      </c>
      <c r="AA39" s="70" t="n">
        <f aca="false">IFERROR(__xludf.dummyfunction("""COMPUTED_VALUE"""),304872)</f>
        <v>304872</v>
      </c>
      <c r="AB39" s="70" t="n">
        <f aca="false">IFERROR(__xludf.dummyfunction("""COMPUTED_VALUE"""),660432)</f>
        <v>660432</v>
      </c>
      <c r="AC39" s="70" t="n">
        <f aca="false">IFERROR(__xludf.dummyfunction("""COMPUTED_VALUE"""),445840)</f>
        <v>445840</v>
      </c>
      <c r="AD39" s="70" t="n">
        <f aca="false">IFERROR(__xludf.dummyfunction("""COMPUTED_VALUE"""),246414)</f>
        <v>246414</v>
      </c>
      <c r="AE39" s="70" t="n">
        <f aca="false">IFERROR(__xludf.dummyfunction("""COMPUTED_VALUE"""),5148)</f>
        <v>5148</v>
      </c>
      <c r="AF39" s="70" t="n">
        <f aca="false">IFERROR(__xludf.dummyfunction("""COMPUTED_VALUE"""),232237)</f>
        <v>232237</v>
      </c>
      <c r="AG39" s="70" t="n">
        <f aca="false">IFERROR(__xludf.dummyfunction("""COMPUTED_VALUE"""),919971)</f>
        <v>919971</v>
      </c>
      <c r="AH39" s="70" t="n">
        <f aca="false">IFERROR(__xludf.dummyfunction("""COMPUTED_VALUE"""),482355)</f>
        <v>482355</v>
      </c>
      <c r="AI39" s="70" t="n">
        <f aca="false">IFERROR(__xludf.dummyfunction("""COMPUTED_VALUE"""),3800735)</f>
        <v>3800735</v>
      </c>
      <c r="AJ39" s="70" t="n">
        <f aca="false">IFERROR(__xludf.dummyfunction("""COMPUTED_VALUE"""),2298839)</f>
        <v>2298839</v>
      </c>
      <c r="AK39" s="70" t="n">
        <f aca="false">IFERROR(__xludf.dummyfunction("""COMPUTED_VALUE"""),157)</f>
        <v>157</v>
      </c>
      <c r="AL39" s="70" t="n">
        <f aca="false">IFERROR(__xludf.dummyfunction("""COMPUTED_VALUE"""),578625)</f>
        <v>578625</v>
      </c>
      <c r="AM39" s="70" t="n">
        <f aca="false">IFERROR(__xludf.dummyfunction("""COMPUTED_VALUE"""),1787974)</f>
        <v>1787974</v>
      </c>
      <c r="AN39" s="70" t="n">
        <f aca="false">IFERROR(__xludf.dummyfunction("""COMPUTED_VALUE"""),1375846)</f>
        <v>1375846</v>
      </c>
      <c r="AO39" s="70" t="n">
        <f aca="false">IFERROR(__xludf.dummyfunction("""COMPUTED_VALUE"""),619485)</f>
        <v>619485</v>
      </c>
      <c r="AP39" s="70" t="n">
        <f aca="false">IFERROR(__xludf.dummyfunction("""COMPUTED_VALUE"""),309027)</f>
        <v>309027</v>
      </c>
      <c r="AQ39" s="70" t="n">
        <f aca="false">IFERROR(__xludf.dummyfunction("""COMPUTED_VALUE"""),604740)</f>
        <v>604740</v>
      </c>
      <c r="AR39" s="70" t="n">
        <f aca="false">IFERROR(__xludf.dummyfunction("""COMPUTED_VALUE"""),47880)</f>
        <v>47880</v>
      </c>
      <c r="AS39" s="70" t="n">
        <f aca="false">IFERROR(__xludf.dummyfunction("""COMPUTED_VALUE"""),319227)</f>
        <v>319227</v>
      </c>
      <c r="AT39" s="70" t="n">
        <f aca="false">IFERROR(__xludf.dummyfunction("""COMPUTED_VALUE"""),7604155)</f>
        <v>7604155</v>
      </c>
      <c r="AU39" s="70" t="n">
        <f aca="false">IFERROR(__xludf.dummyfunction("""COMPUTED_VALUE"""),216090)</f>
        <v>216090</v>
      </c>
      <c r="AV39" s="70" t="n">
        <f aca="false">IFERROR(__xludf.dummyfunction("""COMPUTED_VALUE"""),5616)</f>
        <v>5616</v>
      </c>
      <c r="AW39" s="70" t="n">
        <f aca="false">IFERROR(__xludf.dummyfunction("""COMPUTED_VALUE"""),1426966)</f>
        <v>1426966</v>
      </c>
      <c r="AX39" s="70" t="n">
        <f aca="false">IFERROR(__xludf.dummyfunction("""COMPUTED_VALUE"""),1419016)</f>
        <v>1419016</v>
      </c>
      <c r="AY39" s="70" t="n">
        <f aca="false">IFERROR(__xludf.dummyfunction("""COMPUTED_VALUE"""),387778)</f>
        <v>387778</v>
      </c>
      <c r="AZ39" s="70" t="n">
        <f aca="false">IFERROR(__xludf.dummyfunction("""COMPUTED_VALUE"""),259630)</f>
        <v>259630</v>
      </c>
      <c r="BA39" s="70" t="n">
        <f aca="false">IFERROR(__xludf.dummyfunction("""COMPUTED_VALUE"""),238110)</f>
        <v>238110</v>
      </c>
    </row>
    <row r="40" customFormat="false" ht="15.75" hidden="false" customHeight="false" outlineLevel="0" collapsed="false">
      <c r="A40" s="71" t="str">
        <f aca="false">IFERROR(__xludf.dummyfunction("""COMPUTED_VALUE"""),"legal_description")</f>
        <v>legal_description</v>
      </c>
      <c r="B40" s="72" t="n">
        <f aca="false">IFERROR(__xludf.dummyfunction("""COMPUTED_VALUE"""),97973390)</f>
        <v>97973390</v>
      </c>
      <c r="C40" s="73" t="n">
        <f aca="false">IFERROR(__xludf.dummyfunction("""COMPUTED_VALUE"""),1923059)</f>
        <v>1923059</v>
      </c>
      <c r="D40" s="70" t="n">
        <f aca="false">IFERROR(__xludf.dummyfunction("""COMPUTED_VALUE"""),639414)</f>
        <v>639414</v>
      </c>
      <c r="E40" s="70" t="n">
        <f aca="false">IFERROR(__xludf.dummyfunction("""COMPUTED_VALUE"""),2447562)</f>
        <v>2447562</v>
      </c>
      <c r="F40" s="70" t="n">
        <f aca="false">IFERROR(__xludf.dummyfunction("""COMPUTED_VALUE"""),997004)</f>
        <v>997004</v>
      </c>
      <c r="G40" s="70" t="n">
        <f aca="false">IFERROR(__xludf.dummyfunction("""COMPUTED_VALUE"""),8940823)</f>
        <v>8940823</v>
      </c>
      <c r="H40" s="70" t="n">
        <f aca="false">IFERROR(__xludf.dummyfunction("""COMPUTED_VALUE"""),2364753)</f>
        <v>2364753</v>
      </c>
      <c r="I40" s="70" t="n">
        <f aca="false">IFERROR(__xludf.dummyfunction("""COMPUTED_VALUE"""),0)</f>
        <v>0</v>
      </c>
      <c r="J40" s="70" t="n">
        <f aca="false">IFERROR(__xludf.dummyfunction("""COMPUTED_VALUE"""),331698)</f>
        <v>331698</v>
      </c>
      <c r="K40" s="70" t="n">
        <f aca="false">IFERROR(__xludf.dummyfunction("""COMPUTED_VALUE"""),174466)</f>
        <v>174466</v>
      </c>
      <c r="L40" s="70" t="n">
        <f aca="false">IFERROR(__xludf.dummyfunction("""COMPUTED_VALUE"""),7948338)</f>
        <v>7948338</v>
      </c>
      <c r="M40" s="70" t="n">
        <f aca="false">IFERROR(__xludf.dummyfunction("""COMPUTED_VALUE"""),3207874)</f>
        <v>3207874</v>
      </c>
      <c r="N40" s="70" t="n">
        <f aca="false">IFERROR(__xludf.dummyfunction("""COMPUTED_VALUE"""),367048)</f>
        <v>367048</v>
      </c>
      <c r="O40" s="70" t="n">
        <f aca="false">IFERROR(__xludf.dummyfunction("""COMPUTED_VALUE"""),689360)</f>
        <v>689360</v>
      </c>
      <c r="P40" s="70" t="n">
        <f aca="false">IFERROR(__xludf.dummyfunction("""COMPUTED_VALUE"""),3322218)</f>
        <v>3322218</v>
      </c>
      <c r="Q40" s="70" t="n">
        <f aca="false">IFERROR(__xludf.dummyfunction("""COMPUTED_VALUE"""),2354567)</f>
        <v>2354567</v>
      </c>
      <c r="R40" s="70" t="n">
        <f aca="false">IFERROR(__xludf.dummyfunction("""COMPUTED_VALUE"""),1574065)</f>
        <v>1574065</v>
      </c>
      <c r="S40" s="70" t="n">
        <f aca="false">IFERROR(__xludf.dummyfunction("""COMPUTED_VALUE"""),1058169)</f>
        <v>1058169</v>
      </c>
      <c r="T40" s="70" t="n">
        <f aca="false">IFERROR(__xludf.dummyfunction("""COMPUTED_VALUE"""),1760419)</f>
        <v>1760419</v>
      </c>
      <c r="U40" s="70" t="n">
        <f aca="false">IFERROR(__xludf.dummyfunction("""COMPUTED_VALUE"""),1720527)</f>
        <v>1720527</v>
      </c>
      <c r="V40" s="70" t="n">
        <f aca="false">IFERROR(__xludf.dummyfunction("""COMPUTED_VALUE"""),2495)</f>
        <v>2495</v>
      </c>
      <c r="W40" s="70" t="n">
        <f aca="false">IFERROR(__xludf.dummyfunction("""COMPUTED_VALUE"""),1949505)</f>
        <v>1949505</v>
      </c>
      <c r="X40" s="70" t="n">
        <f aca="false">IFERROR(__xludf.dummyfunction("""COMPUTED_VALUE"""),0)</f>
        <v>0</v>
      </c>
      <c r="Y40" s="70" t="n">
        <f aca="false">IFERROR(__xludf.dummyfunction("""COMPUTED_VALUE"""),4116568)</f>
        <v>4116568</v>
      </c>
      <c r="Z40" s="70" t="n">
        <f aca="false">IFERROR(__xludf.dummyfunction("""COMPUTED_VALUE"""),2156401)</f>
        <v>2156401</v>
      </c>
      <c r="AA40" s="70" t="n">
        <f aca="false">IFERROR(__xludf.dummyfunction("""COMPUTED_VALUE"""),1126788)</f>
        <v>1126788</v>
      </c>
      <c r="AB40" s="70" t="n">
        <f aca="false">IFERROR(__xludf.dummyfunction("""COMPUTED_VALUE"""),2383369)</f>
        <v>2383369</v>
      </c>
      <c r="AC40" s="70" t="n">
        <f aca="false">IFERROR(__xludf.dummyfunction("""COMPUTED_VALUE"""),445875)</f>
        <v>445875</v>
      </c>
      <c r="AD40" s="70" t="n">
        <f aca="false">IFERROR(__xludf.dummyfunction("""COMPUTED_VALUE"""),711699)</f>
        <v>711699</v>
      </c>
      <c r="AE40" s="70" t="n">
        <f aca="false">IFERROR(__xludf.dummyfunction("""COMPUTED_VALUE"""),955062)</f>
        <v>955062</v>
      </c>
      <c r="AF40" s="70" t="n">
        <f aca="false">IFERROR(__xludf.dummyfunction("""COMPUTED_VALUE"""),80656)</f>
        <v>80656</v>
      </c>
      <c r="AG40" s="70" t="n">
        <f aca="false">IFERROR(__xludf.dummyfunction("""COMPUTED_VALUE"""),474148)</f>
        <v>474148</v>
      </c>
      <c r="AH40" s="70" t="n">
        <f aca="false">IFERROR(__xludf.dummyfunction("""COMPUTED_VALUE"""),834772)</f>
        <v>834772</v>
      </c>
      <c r="AI40" s="70" t="n">
        <f aca="false">IFERROR(__xludf.dummyfunction("""COMPUTED_VALUE"""),2576068)</f>
        <v>2576068</v>
      </c>
      <c r="AJ40" s="70" t="n">
        <f aca="false">IFERROR(__xludf.dummyfunction("""COMPUTED_VALUE"""),3891878)</f>
        <v>3891878</v>
      </c>
      <c r="AK40" s="70" t="n">
        <f aca="false">IFERROR(__xludf.dummyfunction("""COMPUTED_VALUE"""),240362)</f>
        <v>240362</v>
      </c>
      <c r="AL40" s="70" t="n">
        <f aca="false">IFERROR(__xludf.dummyfunction("""COMPUTED_VALUE"""),4142897)</f>
        <v>4142897</v>
      </c>
      <c r="AM40" s="70" t="n">
        <f aca="false">IFERROR(__xludf.dummyfunction("""COMPUTED_VALUE"""),1808584)</f>
        <v>1808584</v>
      </c>
      <c r="AN40" s="70" t="n">
        <f aca="false">IFERROR(__xludf.dummyfunction("""COMPUTED_VALUE"""),1027307)</f>
        <v>1027307</v>
      </c>
      <c r="AO40" s="70" t="n">
        <f aca="false">IFERROR(__xludf.dummyfunction("""COMPUTED_VALUE"""),3180913)</f>
        <v>3180913</v>
      </c>
      <c r="AP40" s="70" t="n">
        <f aca="false">IFERROR(__xludf.dummyfunction("""COMPUTED_VALUE"""),0)</f>
        <v>0</v>
      </c>
      <c r="AQ40" s="70" t="n">
        <f aca="false">IFERROR(__xludf.dummyfunction("""COMPUTED_VALUE"""),2155711)</f>
        <v>2155711</v>
      </c>
      <c r="AR40" s="70" t="n">
        <f aca="false">IFERROR(__xludf.dummyfunction("""COMPUTED_VALUE"""),314794)</f>
        <v>314794</v>
      </c>
      <c r="AS40" s="70" t="n">
        <f aca="false">IFERROR(__xludf.dummyfunction("""COMPUTED_VALUE"""),2563677)</f>
        <v>2563677</v>
      </c>
      <c r="AT40" s="70" t="n">
        <f aca="false">IFERROR(__xludf.dummyfunction("""COMPUTED_VALUE"""),9166369)</f>
        <v>9166369</v>
      </c>
      <c r="AU40" s="70" t="n">
        <f aca="false">IFERROR(__xludf.dummyfunction("""COMPUTED_VALUE"""),957499)</f>
        <v>957499</v>
      </c>
      <c r="AV40" s="70" t="n">
        <f aca="false">IFERROR(__xludf.dummyfunction("""COMPUTED_VALUE"""),254450)</f>
        <v>254450</v>
      </c>
      <c r="AW40" s="70" t="n">
        <f aca="false">IFERROR(__xludf.dummyfunction("""COMPUTED_VALUE"""),2906396)</f>
        <v>2906396</v>
      </c>
      <c r="AX40" s="70" t="n">
        <f aca="false">IFERROR(__xludf.dummyfunction("""COMPUTED_VALUE"""),2498247)</f>
        <v>2498247</v>
      </c>
      <c r="AY40" s="70" t="n">
        <f aca="false">IFERROR(__xludf.dummyfunction("""COMPUTED_VALUE"""),756216)</f>
        <v>756216</v>
      </c>
      <c r="AZ40" s="70" t="n">
        <f aca="false">IFERROR(__xludf.dummyfunction("""COMPUTED_VALUE"""),2217962)</f>
        <v>2217962</v>
      </c>
      <c r="BA40" s="70" t="n">
        <f aca="false">IFERROR(__xludf.dummyfunction("""COMPUTED_VALUE"""),238102)</f>
        <v>238102</v>
      </c>
    </row>
    <row r="41" customFormat="false" ht="15.75" hidden="false" customHeight="false" outlineLevel="0" collapsed="false">
      <c r="A41" s="71" t="str">
        <f aca="false">IFERROR(__xludf.dummyfunction("""COMPUTED_VALUE"""),"lot_code")</f>
        <v>lot_code</v>
      </c>
      <c r="B41" s="72" t="n">
        <f aca="false">IFERROR(__xludf.dummyfunction("""COMPUTED_VALUE"""),7343308)</f>
        <v>7343308</v>
      </c>
      <c r="C41" s="73" t="n">
        <f aca="false">IFERROR(__xludf.dummyfunction("""COMPUTED_VALUE"""),173213)</f>
        <v>173213</v>
      </c>
      <c r="D41" s="70" t="n">
        <f aca="false">IFERROR(__xludf.dummyfunction("""COMPUTED_VALUE"""),5401)</f>
        <v>5401</v>
      </c>
      <c r="E41" s="70" t="n">
        <f aca="false">IFERROR(__xludf.dummyfunction("""COMPUTED_VALUE"""),93517)</f>
        <v>93517</v>
      </c>
      <c r="F41" s="70" t="n">
        <f aca="false">IFERROR(__xludf.dummyfunction("""COMPUTED_VALUE"""),161067)</f>
        <v>161067</v>
      </c>
      <c r="G41" s="70" t="n">
        <f aca="false">IFERROR(__xludf.dummyfunction("""COMPUTED_VALUE"""),234181)</f>
        <v>234181</v>
      </c>
      <c r="H41" s="70" t="n">
        <f aca="false">IFERROR(__xludf.dummyfunction("""COMPUTED_VALUE"""),91067)</f>
        <v>91067</v>
      </c>
      <c r="I41" s="70" t="n">
        <f aca="false">IFERROR(__xludf.dummyfunction("""COMPUTED_VALUE"""),183)</f>
        <v>183</v>
      </c>
      <c r="J41" s="70" t="n">
        <f aca="false">IFERROR(__xludf.dummyfunction("""COMPUTED_VALUE"""),12374)</f>
        <v>12374</v>
      </c>
      <c r="K41" s="70" t="n">
        <f aca="false">IFERROR(__xludf.dummyfunction("""COMPUTED_VALUE"""),0)</f>
        <v>0</v>
      </c>
      <c r="L41" s="70" t="n">
        <f aca="false">IFERROR(__xludf.dummyfunction("""COMPUTED_VALUE"""),618642)</f>
        <v>618642</v>
      </c>
      <c r="M41" s="70" t="n">
        <f aca="false">IFERROR(__xludf.dummyfunction("""COMPUTED_VALUE"""),187094)</f>
        <v>187094</v>
      </c>
      <c r="N41" s="70" t="n">
        <f aca="false">IFERROR(__xludf.dummyfunction("""COMPUTED_VALUE"""),37588)</f>
        <v>37588</v>
      </c>
      <c r="O41" s="70" t="n">
        <f aca="false">IFERROR(__xludf.dummyfunction("""COMPUTED_VALUE"""),64718)</f>
        <v>64718</v>
      </c>
      <c r="P41" s="70" t="n">
        <f aca="false">IFERROR(__xludf.dummyfunction("""COMPUTED_VALUE"""),539437)</f>
        <v>539437</v>
      </c>
      <c r="Q41" s="70" t="n">
        <f aca="false">IFERROR(__xludf.dummyfunction("""COMPUTED_VALUE"""),248567)</f>
        <v>248567</v>
      </c>
      <c r="R41" s="70" t="n">
        <f aca="false">IFERROR(__xludf.dummyfunction("""COMPUTED_VALUE"""),159853)</f>
        <v>159853</v>
      </c>
      <c r="S41" s="70" t="n">
        <f aca="false">IFERROR(__xludf.dummyfunction("""COMPUTED_VALUE"""),209102)</f>
        <v>209102</v>
      </c>
      <c r="T41" s="70" t="n">
        <f aca="false">IFERROR(__xludf.dummyfunction("""COMPUTED_VALUE"""),133570)</f>
        <v>133570</v>
      </c>
      <c r="U41" s="70" t="n">
        <f aca="false">IFERROR(__xludf.dummyfunction("""COMPUTED_VALUE"""),218865)</f>
        <v>218865</v>
      </c>
      <c r="V41" s="70" t="n">
        <f aca="false">IFERROR(__xludf.dummyfunction("""COMPUTED_VALUE"""),169)</f>
        <v>169</v>
      </c>
      <c r="W41" s="70" t="n">
        <f aca="false">IFERROR(__xludf.dummyfunction("""COMPUTED_VALUE"""),54764)</f>
        <v>54764</v>
      </c>
      <c r="X41" s="70" t="n">
        <f aca="false">IFERROR(__xludf.dummyfunction("""COMPUTED_VALUE"""),16)</f>
        <v>16</v>
      </c>
      <c r="Y41" s="70" t="n">
        <f aca="false">IFERROR(__xludf.dummyfunction("""COMPUTED_VALUE"""),726051)</f>
        <v>726051</v>
      </c>
      <c r="Z41" s="70" t="n">
        <f aca="false">IFERROR(__xludf.dummyfunction("""COMPUTED_VALUE"""),279804)</f>
        <v>279804</v>
      </c>
      <c r="AA41" s="70" t="n">
        <f aca="false">IFERROR(__xludf.dummyfunction("""COMPUTED_VALUE"""),97346)</f>
        <v>97346</v>
      </c>
      <c r="AB41" s="70" t="n">
        <f aca="false">IFERROR(__xludf.dummyfunction("""COMPUTED_VALUE"""),399983)</f>
        <v>399983</v>
      </c>
      <c r="AC41" s="70" t="n">
        <f aca="false">IFERROR(__xludf.dummyfunction("""COMPUTED_VALUE"""),21893)</f>
        <v>21893</v>
      </c>
      <c r="AD41" s="70" t="n">
        <f aca="false">IFERROR(__xludf.dummyfunction("""COMPUTED_VALUE"""),117193)</f>
        <v>117193</v>
      </c>
      <c r="AE41" s="70" t="n">
        <f aca="false">IFERROR(__xludf.dummyfunction("""COMPUTED_VALUE"""),17351)</f>
        <v>17351</v>
      </c>
      <c r="AF41" s="70" t="n">
        <f aca="false">IFERROR(__xludf.dummyfunction("""COMPUTED_VALUE"""),6)</f>
        <v>6</v>
      </c>
      <c r="AG41" s="70" t="n">
        <f aca="false">IFERROR(__xludf.dummyfunction("""COMPUTED_VALUE"""),0)</f>
        <v>0</v>
      </c>
      <c r="AH41" s="70" t="n">
        <f aca="false">IFERROR(__xludf.dummyfunction("""COMPUTED_VALUE"""),73110)</f>
        <v>73110</v>
      </c>
      <c r="AI41" s="70" t="n">
        <f aca="false">IFERROR(__xludf.dummyfunction("""COMPUTED_VALUE"""),67971)</f>
        <v>67971</v>
      </c>
      <c r="AJ41" s="70" t="n">
        <f aca="false">IFERROR(__xludf.dummyfunction("""COMPUTED_VALUE"""),142585)</f>
        <v>142585</v>
      </c>
      <c r="AK41" s="70" t="n">
        <f aca="false">IFERROR(__xludf.dummyfunction("""COMPUTED_VALUE"""),64982)</f>
        <v>64982</v>
      </c>
      <c r="AL41" s="70" t="n">
        <f aca="false">IFERROR(__xludf.dummyfunction("""COMPUTED_VALUE"""),41307)</f>
        <v>41307</v>
      </c>
      <c r="AM41" s="70" t="n">
        <f aca="false">IFERROR(__xludf.dummyfunction("""COMPUTED_VALUE"""),273284)</f>
        <v>273284</v>
      </c>
      <c r="AN41" s="70" t="n">
        <f aca="false">IFERROR(__xludf.dummyfunction("""COMPUTED_VALUE"""),144021)</f>
        <v>144021</v>
      </c>
      <c r="AO41" s="70" t="n">
        <f aca="false">IFERROR(__xludf.dummyfunction("""COMPUTED_VALUE"""),65280)</f>
        <v>65280</v>
      </c>
      <c r="AP41" s="70" t="n">
        <f aca="false">IFERROR(__xludf.dummyfunction("""COMPUTED_VALUE"""),0)</f>
        <v>0</v>
      </c>
      <c r="AQ41" s="70" t="n">
        <f aca="false">IFERROR(__xludf.dummyfunction("""COMPUTED_VALUE"""),107194)</f>
        <v>107194</v>
      </c>
      <c r="AR41" s="70" t="n">
        <f aca="false">IFERROR(__xludf.dummyfunction("""COMPUTED_VALUE"""),76234)</f>
        <v>76234</v>
      </c>
      <c r="AS41" s="70" t="n">
        <f aca="false">IFERROR(__xludf.dummyfunction("""COMPUTED_VALUE"""),77745)</f>
        <v>77745</v>
      </c>
      <c r="AT41" s="70" t="n">
        <f aca="false">IFERROR(__xludf.dummyfunction("""COMPUTED_VALUE"""),222414)</f>
        <v>222414</v>
      </c>
      <c r="AU41" s="70" t="n">
        <f aca="false">IFERROR(__xludf.dummyfunction("""COMPUTED_VALUE"""),212367)</f>
        <v>212367</v>
      </c>
      <c r="AV41" s="70" t="n">
        <f aca="false">IFERROR(__xludf.dummyfunction("""COMPUTED_VALUE"""),0)</f>
        <v>0</v>
      </c>
      <c r="AW41" s="70" t="n">
        <f aca="false">IFERROR(__xludf.dummyfunction("""COMPUTED_VALUE"""),188555)</f>
        <v>188555</v>
      </c>
      <c r="AX41" s="70" t="n">
        <f aca="false">IFERROR(__xludf.dummyfunction("""COMPUTED_VALUE"""),370497)</f>
        <v>370497</v>
      </c>
      <c r="AY41" s="70" t="n">
        <f aca="false">IFERROR(__xludf.dummyfunction("""COMPUTED_VALUE"""),111643)</f>
        <v>111643</v>
      </c>
      <c r="AZ41" s="70" t="n">
        <f aca="false">IFERROR(__xludf.dummyfunction("""COMPUTED_VALUE"""),163964)</f>
        <v>163964</v>
      </c>
      <c r="BA41" s="70" t="n">
        <f aca="false">IFERROR(__xludf.dummyfunction("""COMPUTED_VALUE"""),37140)</f>
        <v>37140</v>
      </c>
    </row>
    <row r="42" customFormat="false" ht="15.75" hidden="false" customHeight="false" outlineLevel="0" collapsed="false">
      <c r="A42" s="71" t="str">
        <f aca="false">IFERROR(__xludf.dummyfunction("""COMPUTED_VALUE"""),"lot_number")</f>
        <v>lot_number</v>
      </c>
      <c r="B42" s="72" t="n">
        <f aca="false">IFERROR(__xludf.dummyfunction("""COMPUTED_VALUE"""),73220194)</f>
        <v>73220194</v>
      </c>
      <c r="C42" s="73" t="n">
        <f aca="false">IFERROR(__xludf.dummyfunction("""COMPUTED_VALUE"""),1201465)</f>
        <v>1201465</v>
      </c>
      <c r="D42" s="70" t="n">
        <f aca="false">IFERROR(__xludf.dummyfunction("""COMPUTED_VALUE"""),291361)</f>
        <v>291361</v>
      </c>
      <c r="E42" s="70" t="n">
        <f aca="false">IFERROR(__xludf.dummyfunction("""COMPUTED_VALUE"""),2262816)</f>
        <v>2262816</v>
      </c>
      <c r="F42" s="70" t="n">
        <f aca="false">IFERROR(__xludf.dummyfunction("""COMPUTED_VALUE"""),708557)</f>
        <v>708557</v>
      </c>
      <c r="G42" s="70" t="n">
        <f aca="false">IFERROR(__xludf.dummyfunction("""COMPUTED_VALUE"""),5902705)</f>
        <v>5902705</v>
      </c>
      <c r="H42" s="70" t="n">
        <f aca="false">IFERROR(__xludf.dummyfunction("""COMPUTED_VALUE"""),1561154)</f>
        <v>1561154</v>
      </c>
      <c r="I42" s="70" t="n">
        <f aca="false">IFERROR(__xludf.dummyfunction("""COMPUTED_VALUE"""),847763)</f>
        <v>847763</v>
      </c>
      <c r="J42" s="70" t="n">
        <f aca="false">IFERROR(__xludf.dummyfunction("""COMPUTED_VALUE"""),384196)</f>
        <v>384196</v>
      </c>
      <c r="K42" s="70" t="n">
        <f aca="false">IFERROR(__xludf.dummyfunction("""COMPUTED_VALUE"""),174465)</f>
        <v>174465</v>
      </c>
      <c r="L42" s="70" t="n">
        <f aca="false">IFERROR(__xludf.dummyfunction("""COMPUTED_VALUE"""),5812079)</f>
        <v>5812079</v>
      </c>
      <c r="M42" s="70" t="n">
        <f aca="false">IFERROR(__xludf.dummyfunction("""COMPUTED_VALUE"""),1999296)</f>
        <v>1999296</v>
      </c>
      <c r="N42" s="70" t="n">
        <f aca="false">IFERROR(__xludf.dummyfunction("""COMPUTED_VALUE"""),195237)</f>
        <v>195237</v>
      </c>
      <c r="O42" s="70" t="n">
        <f aca="false">IFERROR(__xludf.dummyfunction("""COMPUTED_VALUE"""),452341)</f>
        <v>452341</v>
      </c>
      <c r="P42" s="70" t="n">
        <f aca="false">IFERROR(__xludf.dummyfunction("""COMPUTED_VALUE"""),2556933)</f>
        <v>2556933</v>
      </c>
      <c r="Q42" s="70" t="n">
        <f aca="false">IFERROR(__xludf.dummyfunction("""COMPUTED_VALUE"""),1218233)</f>
        <v>1218233</v>
      </c>
      <c r="R42" s="70" t="n">
        <f aca="false">IFERROR(__xludf.dummyfunction("""COMPUTED_VALUE"""),955075)</f>
        <v>955075</v>
      </c>
      <c r="S42" s="70" t="n">
        <f aca="false">IFERROR(__xludf.dummyfunction("""COMPUTED_VALUE"""),828088)</f>
        <v>828088</v>
      </c>
      <c r="T42" s="70" t="n">
        <f aca="false">IFERROR(__xludf.dummyfunction("""COMPUTED_VALUE"""),733123)</f>
        <v>733123</v>
      </c>
      <c r="U42" s="70" t="n">
        <f aca="false">IFERROR(__xludf.dummyfunction("""COMPUTED_VALUE"""),1348868)</f>
        <v>1348868</v>
      </c>
      <c r="V42" s="70" t="n">
        <f aca="false">IFERROR(__xludf.dummyfunction("""COMPUTED_VALUE"""),455725)</f>
        <v>455725</v>
      </c>
      <c r="W42" s="70" t="n">
        <f aca="false">IFERROR(__xludf.dummyfunction("""COMPUTED_VALUE"""),1576791)</f>
        <v>1576791</v>
      </c>
      <c r="X42" s="70" t="n">
        <f aca="false">IFERROR(__xludf.dummyfunction("""COMPUTED_VALUE"""),1185581)</f>
        <v>1185581</v>
      </c>
      <c r="Y42" s="70" t="n">
        <f aca="false">IFERROR(__xludf.dummyfunction("""COMPUTED_VALUE"""),2309049)</f>
        <v>2309049</v>
      </c>
      <c r="Z42" s="70" t="n">
        <f aca="false">IFERROR(__xludf.dummyfunction("""COMPUTED_VALUE"""),1670219)</f>
        <v>1670219</v>
      </c>
      <c r="AA42" s="70" t="n">
        <f aca="false">IFERROR(__xludf.dummyfunction("""COMPUTED_VALUE"""),490221)</f>
        <v>490221</v>
      </c>
      <c r="AB42" s="70" t="n">
        <f aca="false">IFERROR(__xludf.dummyfunction("""COMPUTED_VALUE"""),1741430)</f>
        <v>1741430</v>
      </c>
      <c r="AC42" s="70" t="n">
        <f aca="false">IFERROR(__xludf.dummyfunction("""COMPUTED_VALUE"""),306517)</f>
        <v>306517</v>
      </c>
      <c r="AD42" s="70" t="n">
        <f aca="false">IFERROR(__xludf.dummyfunction("""COMPUTED_VALUE"""),567565)</f>
        <v>567565</v>
      </c>
      <c r="AE42" s="70" t="n">
        <f aca="false">IFERROR(__xludf.dummyfunction("""COMPUTED_VALUE"""),949276)</f>
        <v>949276</v>
      </c>
      <c r="AF42" s="70" t="n">
        <f aca="false">IFERROR(__xludf.dummyfunction("""COMPUTED_VALUE"""),339964)</f>
        <v>339964</v>
      </c>
      <c r="AG42" s="70" t="n">
        <f aca="false">IFERROR(__xludf.dummyfunction("""COMPUTED_VALUE"""),2637485)</f>
        <v>2637485</v>
      </c>
      <c r="AH42" s="70" t="n">
        <f aca="false">IFERROR(__xludf.dummyfunction("""COMPUTED_VALUE"""),547469)</f>
        <v>547469</v>
      </c>
      <c r="AI42" s="70" t="n">
        <f aca="false">IFERROR(__xludf.dummyfunction("""COMPUTED_VALUE"""),5211267)</f>
        <v>5211267</v>
      </c>
      <c r="AJ42" s="70" t="n">
        <f aca="false">IFERROR(__xludf.dummyfunction("""COMPUTED_VALUE"""),1812338)</f>
        <v>1812338</v>
      </c>
      <c r="AK42" s="70" t="n">
        <f aca="false">IFERROR(__xludf.dummyfunction("""COMPUTED_VALUE"""),204970)</f>
        <v>204970</v>
      </c>
      <c r="AL42" s="70" t="n">
        <f aca="false">IFERROR(__xludf.dummyfunction("""COMPUTED_VALUE"""),1326177)</f>
        <v>1326177</v>
      </c>
      <c r="AM42" s="70" t="n">
        <f aca="false">IFERROR(__xludf.dummyfunction("""COMPUTED_VALUE"""),1416350)</f>
        <v>1416350</v>
      </c>
      <c r="AN42" s="70" t="n">
        <f aca="false">IFERROR(__xludf.dummyfunction("""COMPUTED_VALUE"""),829824)</f>
        <v>829824</v>
      </c>
      <c r="AO42" s="70" t="n">
        <f aca="false">IFERROR(__xludf.dummyfunction("""COMPUTED_VALUE"""),1506121)</f>
        <v>1506121</v>
      </c>
      <c r="AP42" s="70" t="n">
        <f aca="false">IFERROR(__xludf.dummyfunction("""COMPUTED_VALUE"""),228754)</f>
        <v>228754</v>
      </c>
      <c r="AQ42" s="70" t="n">
        <f aca="false">IFERROR(__xludf.dummyfunction("""COMPUTED_VALUE"""),1272777)</f>
        <v>1272777</v>
      </c>
      <c r="AR42" s="70" t="n">
        <f aca="false">IFERROR(__xludf.dummyfunction("""COMPUTED_VALUE"""),248316)</f>
        <v>248316</v>
      </c>
      <c r="AS42" s="70" t="n">
        <f aca="false">IFERROR(__xludf.dummyfunction("""COMPUTED_VALUE"""),1789461)</f>
        <v>1789461</v>
      </c>
      <c r="AT42" s="70" t="n">
        <f aca="false">IFERROR(__xludf.dummyfunction("""COMPUTED_VALUE"""),7071468)</f>
        <v>7071468</v>
      </c>
      <c r="AU42" s="70" t="n">
        <f aca="false">IFERROR(__xludf.dummyfunction("""COMPUTED_VALUE"""),754768)</f>
        <v>754768</v>
      </c>
      <c r="AV42" s="70" t="n">
        <f aca="false">IFERROR(__xludf.dummyfunction("""COMPUTED_VALUE"""),3856)</f>
        <v>3856</v>
      </c>
      <c r="AW42" s="70" t="n">
        <f aca="false">IFERROR(__xludf.dummyfunction("""COMPUTED_VALUE"""),1748010)</f>
        <v>1748010</v>
      </c>
      <c r="AX42" s="70" t="n">
        <f aca="false">IFERROR(__xludf.dummyfunction("""COMPUTED_VALUE"""),1826209)</f>
        <v>1826209</v>
      </c>
      <c r="AY42" s="70" t="n">
        <f aca="false">IFERROR(__xludf.dummyfunction("""COMPUTED_VALUE"""),358953)</f>
        <v>358953</v>
      </c>
      <c r="AZ42" s="70" t="n">
        <f aca="false">IFERROR(__xludf.dummyfunction("""COMPUTED_VALUE"""),1231900)</f>
        <v>1231900</v>
      </c>
      <c r="BA42" s="70" t="n">
        <f aca="false">IFERROR(__xludf.dummyfunction("""COMPUTED_VALUE"""),167627)</f>
        <v>167627</v>
      </c>
    </row>
    <row r="43" customFormat="false" ht="15.75" hidden="false" customHeight="false" outlineLevel="0" collapsed="false">
      <c r="A43" s="71" t="str">
        <f aca="false">IFERROR(__xludf.dummyfunction("""COMPUTED_VALUE"""),"municipality")</f>
        <v>municipality</v>
      </c>
      <c r="B43" s="72" t="n">
        <f aca="false">IFERROR(__xludf.dummyfunction("""COMPUTED_VALUE"""),73871397)</f>
        <v>73871397</v>
      </c>
      <c r="C43" s="73" t="n">
        <f aca="false">IFERROR(__xludf.dummyfunction("""COMPUTED_VALUE"""),1452371)</f>
        <v>1452371</v>
      </c>
      <c r="D43" s="70" t="n">
        <f aca="false">IFERROR(__xludf.dummyfunction("""COMPUTED_VALUE"""),637132)</f>
        <v>637132</v>
      </c>
      <c r="E43" s="70" t="n">
        <f aca="false">IFERROR(__xludf.dummyfunction("""COMPUTED_VALUE"""),520508)</f>
        <v>520508</v>
      </c>
      <c r="F43" s="70" t="n">
        <f aca="false">IFERROR(__xludf.dummyfunction("""COMPUTED_VALUE"""),558126)</f>
        <v>558126</v>
      </c>
      <c r="G43" s="70" t="n">
        <f aca="false">IFERROR(__xludf.dummyfunction("""COMPUTED_VALUE"""),2869016)</f>
        <v>2869016</v>
      </c>
      <c r="H43" s="70" t="n">
        <f aca="false">IFERROR(__xludf.dummyfunction("""COMPUTED_VALUE"""),438125)</f>
        <v>438125</v>
      </c>
      <c r="I43" s="70" t="n">
        <f aca="false">IFERROR(__xludf.dummyfunction("""COMPUTED_VALUE"""),1151351)</f>
        <v>1151351</v>
      </c>
      <c r="J43" s="70" t="n">
        <f aca="false">IFERROR(__xludf.dummyfunction("""COMPUTED_VALUE"""),137555)</f>
        <v>137555</v>
      </c>
      <c r="K43" s="70" t="n">
        <f aca="false">IFERROR(__xludf.dummyfunction("""COMPUTED_VALUE"""),182247)</f>
        <v>182247</v>
      </c>
      <c r="L43" s="70" t="n">
        <f aca="false">IFERROR(__xludf.dummyfunction("""COMPUTED_VALUE"""),4394946)</f>
        <v>4394946</v>
      </c>
      <c r="M43" s="70" t="n">
        <f aca="false">IFERROR(__xludf.dummyfunction("""COMPUTED_VALUE"""),2523081)</f>
        <v>2523081</v>
      </c>
      <c r="N43" s="70" t="n">
        <f aca="false">IFERROR(__xludf.dummyfunction("""COMPUTED_VALUE"""),214597)</f>
        <v>214597</v>
      </c>
      <c r="O43" s="70" t="n">
        <f aca="false">IFERROR(__xludf.dummyfunction("""COMPUTED_VALUE"""),83177)</f>
        <v>83177</v>
      </c>
      <c r="P43" s="70" t="n">
        <f aca="false">IFERROR(__xludf.dummyfunction("""COMPUTED_VALUE"""),4329891)</f>
        <v>4329891</v>
      </c>
      <c r="Q43" s="70" t="n">
        <f aca="false">IFERROR(__xludf.dummyfunction("""COMPUTED_VALUE"""),2344338)</f>
        <v>2344338</v>
      </c>
      <c r="R43" s="70" t="n">
        <f aca="false">IFERROR(__xludf.dummyfunction("""COMPUTED_VALUE"""),1327539)</f>
        <v>1327539</v>
      </c>
      <c r="S43" s="70" t="n">
        <f aca="false">IFERROR(__xludf.dummyfunction("""COMPUTED_VALUE"""),497655)</f>
        <v>497655</v>
      </c>
      <c r="T43" s="70" t="n">
        <f aca="false">IFERROR(__xludf.dummyfunction("""COMPUTED_VALUE"""),770422)</f>
        <v>770422</v>
      </c>
      <c r="U43" s="70" t="n">
        <f aca="false">IFERROR(__xludf.dummyfunction("""COMPUTED_VALUE"""),948740)</f>
        <v>948740</v>
      </c>
      <c r="V43" s="70" t="n">
        <f aca="false">IFERROR(__xludf.dummyfunction("""COMPUTED_VALUE"""),560743)</f>
        <v>560743</v>
      </c>
      <c r="W43" s="70" t="n">
        <f aca="false">IFERROR(__xludf.dummyfunction("""COMPUTED_VALUE"""),334089)</f>
        <v>334089</v>
      </c>
      <c r="X43" s="70" t="n">
        <f aca="false">IFERROR(__xludf.dummyfunction("""COMPUTED_VALUE"""),2268516)</f>
        <v>2268516</v>
      </c>
      <c r="Y43" s="70" t="n">
        <f aca="false">IFERROR(__xludf.dummyfunction("""COMPUTED_VALUE"""),4054384)</f>
        <v>4054384</v>
      </c>
      <c r="Z43" s="70" t="n">
        <f aca="false">IFERROR(__xludf.dummyfunction("""COMPUTED_VALUE"""),1978819)</f>
        <v>1978819</v>
      </c>
      <c r="AA43" s="70" t="n">
        <f aca="false">IFERROR(__xludf.dummyfunction("""COMPUTED_VALUE"""),473641)</f>
        <v>473641</v>
      </c>
      <c r="AB43" s="70" t="n">
        <f aca="false">IFERROR(__xludf.dummyfunction("""COMPUTED_VALUE"""),1230692)</f>
        <v>1230692</v>
      </c>
      <c r="AC43" s="70" t="n">
        <f aca="false">IFERROR(__xludf.dummyfunction("""COMPUTED_VALUE"""),403509)</f>
        <v>403509</v>
      </c>
      <c r="AD43" s="70" t="n">
        <f aca="false">IFERROR(__xludf.dummyfunction("""COMPUTED_VALUE"""),96022)</f>
        <v>96022</v>
      </c>
      <c r="AE43" s="70" t="n">
        <f aca="false">IFERROR(__xludf.dummyfunction("""COMPUTED_VALUE"""),800264)</f>
        <v>800264</v>
      </c>
      <c r="AF43" s="70" t="n">
        <f aca="false">IFERROR(__xludf.dummyfunction("""COMPUTED_VALUE"""),534663)</f>
        <v>534663</v>
      </c>
      <c r="AG43" s="70" t="n">
        <f aca="false">IFERROR(__xludf.dummyfunction("""COMPUTED_VALUE"""),2878229)</f>
        <v>2878229</v>
      </c>
      <c r="AH43" s="70" t="n">
        <f aca="false">IFERROR(__xludf.dummyfunction("""COMPUTED_VALUE"""),257510)</f>
        <v>257510</v>
      </c>
      <c r="AI43" s="70" t="n">
        <f aca="false">IFERROR(__xludf.dummyfunction("""COMPUTED_VALUE"""),4214606)</f>
        <v>4214606</v>
      </c>
      <c r="AJ43" s="70" t="n">
        <f aca="false">IFERROR(__xludf.dummyfunction("""COMPUTED_VALUE"""),3813483)</f>
        <v>3813483</v>
      </c>
      <c r="AK43" s="70" t="n">
        <f aca="false">IFERROR(__xludf.dummyfunction("""COMPUTED_VALUE"""),258593)</f>
        <v>258593</v>
      </c>
      <c r="AL43" s="70" t="n">
        <f aca="false">IFERROR(__xludf.dummyfunction("""COMPUTED_VALUE"""),3848426)</f>
        <v>3848426</v>
      </c>
      <c r="AM43" s="70" t="n">
        <f aca="false">IFERROR(__xludf.dummyfunction("""COMPUTED_VALUE"""),610197)</f>
        <v>610197</v>
      </c>
      <c r="AN43" s="70" t="n">
        <f aca="false">IFERROR(__xludf.dummyfunction("""COMPUTED_VALUE"""),267649)</f>
        <v>267649</v>
      </c>
      <c r="AO43" s="70" t="n">
        <f aca="false">IFERROR(__xludf.dummyfunction("""COMPUTED_VALUE"""),4436725)</f>
        <v>4436725</v>
      </c>
      <c r="AP43" s="70" t="n">
        <f aca="false">IFERROR(__xludf.dummyfunction("""COMPUTED_VALUE"""),370776)</f>
        <v>370776</v>
      </c>
      <c r="AQ43" s="70" t="n">
        <f aca="false">IFERROR(__xludf.dummyfunction("""COMPUTED_VALUE"""),908240)</f>
        <v>908240</v>
      </c>
      <c r="AR43" s="70" t="n">
        <f aca="false">IFERROR(__xludf.dummyfunction("""COMPUTED_VALUE"""),226016)</f>
        <v>226016</v>
      </c>
      <c r="AS43" s="70" t="n">
        <f aca="false">IFERROR(__xludf.dummyfunction("""COMPUTED_VALUE"""),1368529)</f>
        <v>1368529</v>
      </c>
      <c r="AT43" s="70" t="n">
        <f aca="false">IFERROR(__xludf.dummyfunction("""COMPUTED_VALUE"""),5674927)</f>
        <v>5674927</v>
      </c>
      <c r="AU43" s="70" t="n">
        <f aca="false">IFERROR(__xludf.dummyfunction("""COMPUTED_VALUE"""),247318)</f>
        <v>247318</v>
      </c>
      <c r="AV43" s="70" t="n">
        <f aca="false">IFERROR(__xludf.dummyfunction("""COMPUTED_VALUE"""),370540)</f>
        <v>370540</v>
      </c>
      <c r="AW43" s="70" t="n">
        <f aca="false">IFERROR(__xludf.dummyfunction("""COMPUTED_VALUE"""),1914110)</f>
        <v>1914110</v>
      </c>
      <c r="AX43" s="70" t="n">
        <f aca="false">IFERROR(__xludf.dummyfunction("""COMPUTED_VALUE"""),405074)</f>
        <v>405074</v>
      </c>
      <c r="AY43" s="70" t="n">
        <f aca="false">IFERROR(__xludf.dummyfunction("""COMPUTED_VALUE"""),1036597)</f>
        <v>1036597</v>
      </c>
      <c r="AZ43" s="70" t="n">
        <f aca="false">IFERROR(__xludf.dummyfunction("""COMPUTED_VALUE"""),2555921)</f>
        <v>2555921</v>
      </c>
      <c r="BA43" s="70" t="n">
        <f aca="false">IFERROR(__xludf.dummyfunction("""COMPUTED_VALUE"""),74516)</f>
        <v>74516</v>
      </c>
    </row>
    <row r="44" customFormat="false" ht="15.75" hidden="false" customHeight="false" outlineLevel="0" collapsed="false">
      <c r="A44" s="71" t="str">
        <f aca="false">IFERROR(__xludf.dummyfunction("""COMPUTED_VALUE"""),"subdivision")</f>
        <v>subdivision</v>
      </c>
      <c r="B44" s="72" t="n">
        <f aca="false">IFERROR(__xludf.dummyfunction("""COMPUTED_VALUE"""),64831302)</f>
        <v>64831302</v>
      </c>
      <c r="C44" s="73" t="n">
        <f aca="false">IFERROR(__xludf.dummyfunction("""COMPUTED_VALUE"""),1487074)</f>
        <v>1487074</v>
      </c>
      <c r="D44" s="70" t="n">
        <f aca="false">IFERROR(__xludf.dummyfunction("""COMPUTED_VALUE"""),227734)</f>
        <v>227734</v>
      </c>
      <c r="E44" s="70" t="n">
        <f aca="false">IFERROR(__xludf.dummyfunction("""COMPUTED_VALUE"""),2294428)</f>
        <v>2294428</v>
      </c>
      <c r="F44" s="70" t="n">
        <f aca="false">IFERROR(__xludf.dummyfunction("""COMPUTED_VALUE"""),989336)</f>
        <v>989336</v>
      </c>
      <c r="G44" s="70" t="n">
        <f aca="false">IFERROR(__xludf.dummyfunction("""COMPUTED_VALUE"""),4181179)</f>
        <v>4181179</v>
      </c>
      <c r="H44" s="70" t="n">
        <f aca="false">IFERROR(__xludf.dummyfunction("""COMPUTED_VALUE"""),2330890)</f>
        <v>2330890</v>
      </c>
      <c r="I44" s="70" t="n">
        <f aca="false">IFERROR(__xludf.dummyfunction("""COMPUTED_VALUE"""),82948)</f>
        <v>82948</v>
      </c>
      <c r="J44" s="70" t="n">
        <f aca="false">IFERROR(__xludf.dummyfunction("""COMPUTED_VALUE"""),333490)</f>
        <v>333490</v>
      </c>
      <c r="K44" s="70" t="n">
        <f aca="false">IFERROR(__xludf.dummyfunction("""COMPUTED_VALUE"""),180002)</f>
        <v>180002</v>
      </c>
      <c r="L44" s="70" t="n">
        <f aca="false">IFERROR(__xludf.dummyfunction("""COMPUTED_VALUE"""),7370348)</f>
        <v>7370348</v>
      </c>
      <c r="M44" s="70" t="n">
        <f aca="false">IFERROR(__xludf.dummyfunction("""COMPUTED_VALUE"""),2869628)</f>
        <v>2869628</v>
      </c>
      <c r="N44" s="70" t="n">
        <f aca="false">IFERROR(__xludf.dummyfunction("""COMPUTED_VALUE"""),279547)</f>
        <v>279547</v>
      </c>
      <c r="O44" s="70" t="n">
        <f aca="false">IFERROR(__xludf.dummyfunction("""COMPUTED_VALUE"""),573821)</f>
        <v>573821</v>
      </c>
      <c r="P44" s="70" t="n">
        <f aca="false">IFERROR(__xludf.dummyfunction("""COMPUTED_VALUE"""),2449811)</f>
        <v>2449811</v>
      </c>
      <c r="Q44" s="70" t="n">
        <f aca="false">IFERROR(__xludf.dummyfunction("""COMPUTED_VALUE"""),331256)</f>
        <v>331256</v>
      </c>
      <c r="R44" s="70" t="n">
        <f aca="false">IFERROR(__xludf.dummyfunction("""COMPUTED_VALUE"""),833130)</f>
        <v>833130</v>
      </c>
      <c r="S44" s="70" t="n">
        <f aca="false">IFERROR(__xludf.dummyfunction("""COMPUTED_VALUE"""),946959)</f>
        <v>946959</v>
      </c>
      <c r="T44" s="70" t="n">
        <f aca="false">IFERROR(__xludf.dummyfunction("""COMPUTED_VALUE"""),800027)</f>
        <v>800027</v>
      </c>
      <c r="U44" s="70" t="n">
        <f aca="false">IFERROR(__xludf.dummyfunction("""COMPUTED_VALUE"""),1425794)</f>
        <v>1425794</v>
      </c>
      <c r="V44" s="70" t="n">
        <f aca="false">IFERROR(__xludf.dummyfunction("""COMPUTED_VALUE"""),12000)</f>
        <v>12000</v>
      </c>
      <c r="W44" s="70" t="n">
        <f aca="false">IFERROR(__xludf.dummyfunction("""COMPUTED_VALUE"""),669873)</f>
        <v>669873</v>
      </c>
      <c r="X44" s="70" t="n">
        <f aca="false">IFERROR(__xludf.dummyfunction("""COMPUTED_VALUE"""),94000)</f>
        <v>94000</v>
      </c>
      <c r="Y44" s="70" t="n">
        <f aca="false">IFERROR(__xludf.dummyfunction("""COMPUTED_VALUE"""),2249888)</f>
        <v>2249888</v>
      </c>
      <c r="Z44" s="70" t="n">
        <f aca="false">IFERROR(__xludf.dummyfunction("""COMPUTED_VALUE"""),1734346)</f>
        <v>1734346</v>
      </c>
      <c r="AA44" s="70" t="n">
        <f aca="false">IFERROR(__xludf.dummyfunction("""COMPUTED_VALUE"""),521547)</f>
        <v>521547</v>
      </c>
      <c r="AB44" s="70" t="n">
        <f aca="false">IFERROR(__xludf.dummyfunction("""COMPUTED_VALUE"""),1902631)</f>
        <v>1902631</v>
      </c>
      <c r="AC44" s="70" t="n">
        <f aca="false">IFERROR(__xludf.dummyfunction("""COMPUTED_VALUE"""),342773)</f>
        <v>342773</v>
      </c>
      <c r="AD44" s="70" t="n">
        <f aca="false">IFERROR(__xludf.dummyfunction("""COMPUTED_VALUE"""),586376)</f>
        <v>586376</v>
      </c>
      <c r="AE44" s="70" t="n">
        <f aca="false">IFERROR(__xludf.dummyfunction("""COMPUTED_VALUE"""),977183)</f>
        <v>977183</v>
      </c>
      <c r="AF44" s="70" t="n">
        <f aca="false">IFERROR(__xludf.dummyfunction("""COMPUTED_VALUE"""),35854)</f>
        <v>35854</v>
      </c>
      <c r="AG44" s="70" t="n">
        <f aca="false">IFERROR(__xludf.dummyfunction("""COMPUTED_VALUE"""),151136)</f>
        <v>151136</v>
      </c>
      <c r="AH44" s="70" t="n">
        <f aca="false">IFERROR(__xludf.dummyfunction("""COMPUTED_VALUE"""),758342)</f>
        <v>758342</v>
      </c>
      <c r="AI44" s="70" t="n">
        <f aca="false">IFERROR(__xludf.dummyfunction("""COMPUTED_VALUE"""),575808)</f>
        <v>575808</v>
      </c>
      <c r="AJ44" s="70" t="n">
        <f aca="false">IFERROR(__xludf.dummyfunction("""COMPUTED_VALUE"""),1619598)</f>
        <v>1619598</v>
      </c>
      <c r="AK44" s="70" t="n">
        <f aca="false">IFERROR(__xludf.dummyfunction("""COMPUTED_VALUE"""),211411)</f>
        <v>211411</v>
      </c>
      <c r="AL44" s="70" t="n">
        <f aca="false">IFERROR(__xludf.dummyfunction("""COMPUTED_VALUE"""),1536050)</f>
        <v>1536050</v>
      </c>
      <c r="AM44" s="70" t="n">
        <f aca="false">IFERROR(__xludf.dummyfunction("""COMPUTED_VALUE"""),1736863)</f>
        <v>1736863</v>
      </c>
      <c r="AN44" s="70" t="n">
        <f aca="false">IFERROR(__xludf.dummyfunction("""COMPUTED_VALUE"""),1079942)</f>
        <v>1079942</v>
      </c>
      <c r="AO44" s="70" t="n">
        <f aca="false">IFERROR(__xludf.dummyfunction("""COMPUTED_VALUE"""),485241)</f>
        <v>485241</v>
      </c>
      <c r="AP44" s="70" t="n">
        <f aca="false">IFERROR(__xludf.dummyfunction("""COMPUTED_VALUE"""),12196)</f>
        <v>12196</v>
      </c>
      <c r="AQ44" s="70" t="n">
        <f aca="false">IFERROR(__xludf.dummyfunction("""COMPUTED_VALUE"""),909438)</f>
        <v>909438</v>
      </c>
      <c r="AR44" s="70" t="n">
        <f aca="false">IFERROR(__xludf.dummyfunction("""COMPUTED_VALUE"""),247193)</f>
        <v>247193</v>
      </c>
      <c r="AS44" s="70" t="n">
        <f aca="false">IFERROR(__xludf.dummyfunction("""COMPUTED_VALUE"""),2102335)</f>
        <v>2102335</v>
      </c>
      <c r="AT44" s="70" t="n">
        <f aca="false">IFERROR(__xludf.dummyfunction("""COMPUTED_VALUE"""),8261942)</f>
        <v>8261942</v>
      </c>
      <c r="AU44" s="70" t="n">
        <f aca="false">IFERROR(__xludf.dummyfunction("""COMPUTED_VALUE"""),726085)</f>
        <v>726085</v>
      </c>
      <c r="AV44" s="70" t="n">
        <f aca="false">IFERROR(__xludf.dummyfunction("""COMPUTED_VALUE"""),2189)</f>
        <v>2189</v>
      </c>
      <c r="AW44" s="70" t="n">
        <f aca="false">IFERROR(__xludf.dummyfunction("""COMPUTED_VALUE"""),2019137)</f>
        <v>2019137</v>
      </c>
      <c r="AX44" s="70" t="n">
        <f aca="false">IFERROR(__xludf.dummyfunction("""COMPUTED_VALUE"""),1760247)</f>
        <v>1760247</v>
      </c>
      <c r="AY44" s="70" t="n">
        <f aca="false">IFERROR(__xludf.dummyfunction("""COMPUTED_VALUE"""),253576)</f>
        <v>253576</v>
      </c>
      <c r="AZ44" s="70" t="n">
        <f aca="false">IFERROR(__xludf.dummyfunction("""COMPUTED_VALUE"""),1092166)</f>
        <v>1092166</v>
      </c>
      <c r="BA44" s="70" t="n">
        <f aca="false">IFERROR(__xludf.dummyfunction("""COMPUTED_VALUE"""),171483)</f>
        <v>171483</v>
      </c>
    </row>
    <row r="45" customFormat="false" ht="15.75" hidden="false" customHeight="false" outlineLevel="0" collapsed="false">
      <c r="A45" s="71" t="str">
        <f aca="false">IFERROR(__xludf.dummyfunction("""COMPUTED_VALUE"""),"section_township_range")</f>
        <v>section_township_range</v>
      </c>
      <c r="B45" s="72" t="n">
        <f aca="false">IFERROR(__xludf.dummyfunction("""COMPUTED_VALUE"""),40531503)</f>
        <v>40531503</v>
      </c>
      <c r="C45" s="73" t="n">
        <f aca="false">IFERROR(__xludf.dummyfunction("""COMPUTED_VALUE"""),2141094)</f>
        <v>2141094</v>
      </c>
      <c r="D45" s="70" t="n">
        <f aca="false">IFERROR(__xludf.dummyfunction("""COMPUTED_VALUE"""),499549)</f>
        <v>499549</v>
      </c>
      <c r="E45" s="70" t="n">
        <f aca="false">IFERROR(__xludf.dummyfunction("""COMPUTED_VALUE"""),2365807)</f>
        <v>2365807</v>
      </c>
      <c r="F45" s="70" t="n">
        <f aca="false">IFERROR(__xludf.dummyfunction("""COMPUTED_VALUE"""),1269931)</f>
        <v>1269931</v>
      </c>
      <c r="G45" s="70" t="n">
        <f aca="false">IFERROR(__xludf.dummyfunction("""COMPUTED_VALUE"""),224339)</f>
        <v>224339</v>
      </c>
      <c r="H45" s="70" t="n">
        <f aca="false">IFERROR(__xludf.dummyfunction("""COMPUTED_VALUE"""),1710452)</f>
        <v>1710452</v>
      </c>
      <c r="I45" s="70" t="n">
        <f aca="false">IFERROR(__xludf.dummyfunction("""COMPUTED_VALUE"""),0)</f>
        <v>0</v>
      </c>
      <c r="J45" s="70" t="n">
        <f aca="false">IFERROR(__xludf.dummyfunction("""COMPUTED_VALUE"""),0)</f>
        <v>0</v>
      </c>
      <c r="K45" s="70" t="n">
        <f aca="false">IFERROR(__xludf.dummyfunction("""COMPUTED_VALUE"""),0)</f>
        <v>0</v>
      </c>
      <c r="L45" s="70" t="n">
        <f aca="false">IFERROR(__xludf.dummyfunction("""COMPUTED_VALUE"""),8315899)</f>
        <v>8315899</v>
      </c>
      <c r="M45" s="70" t="n">
        <f aca="false">IFERROR(__xludf.dummyfunction("""COMPUTED_VALUE"""),5980)</f>
        <v>5980</v>
      </c>
      <c r="N45" s="70" t="n">
        <f aca="false">IFERROR(__xludf.dummyfunction("""COMPUTED_VALUE"""),0)</f>
        <v>0</v>
      </c>
      <c r="O45" s="70" t="n">
        <f aca="false">IFERROR(__xludf.dummyfunction("""COMPUTED_VALUE"""),670951)</f>
        <v>670951</v>
      </c>
      <c r="P45" s="70" t="n">
        <f aca="false">IFERROR(__xludf.dummyfunction("""COMPUTED_VALUE"""),2254290)</f>
        <v>2254290</v>
      </c>
      <c r="Q45" s="70" t="n">
        <f aca="false">IFERROR(__xludf.dummyfunction("""COMPUTED_VALUE"""),379501)</f>
        <v>379501</v>
      </c>
      <c r="R45" s="70" t="n">
        <f aca="false">IFERROR(__xludf.dummyfunction("""COMPUTED_VALUE"""),729757)</f>
        <v>729757</v>
      </c>
      <c r="S45" s="70" t="n">
        <f aca="false">IFERROR(__xludf.dummyfunction("""COMPUTED_VALUE"""),726653)</f>
        <v>726653</v>
      </c>
      <c r="T45" s="70" t="n">
        <f aca="false">IFERROR(__xludf.dummyfunction("""COMPUTED_VALUE"""),0)</f>
        <v>0</v>
      </c>
      <c r="U45" s="70" t="n">
        <f aca="false">IFERROR(__xludf.dummyfunction("""COMPUTED_VALUE"""),1084731)</f>
        <v>1084731</v>
      </c>
      <c r="V45" s="70" t="n">
        <f aca="false">IFERROR(__xludf.dummyfunction("""COMPUTED_VALUE"""),0)</f>
        <v>0</v>
      </c>
      <c r="W45" s="70" t="n">
        <f aca="false">IFERROR(__xludf.dummyfunction("""COMPUTED_VALUE"""),0)</f>
        <v>0</v>
      </c>
      <c r="X45" s="70" t="n">
        <f aca="false">IFERROR(__xludf.dummyfunction("""COMPUTED_VALUE"""),0)</f>
        <v>0</v>
      </c>
      <c r="Y45" s="70" t="n">
        <f aca="false">IFERROR(__xludf.dummyfunction("""COMPUTED_VALUE"""),1996063)</f>
        <v>1996063</v>
      </c>
      <c r="Z45" s="70" t="n">
        <f aca="false">IFERROR(__xludf.dummyfunction("""COMPUTED_VALUE"""),1816760)</f>
        <v>1816760</v>
      </c>
      <c r="AA45" s="70" t="n">
        <f aca="false">IFERROR(__xludf.dummyfunction("""COMPUTED_VALUE"""),1401029)</f>
        <v>1401029</v>
      </c>
      <c r="AB45" s="70" t="n">
        <f aca="false">IFERROR(__xludf.dummyfunction("""COMPUTED_VALUE"""),1793601)</f>
        <v>1793601</v>
      </c>
      <c r="AC45" s="70" t="n">
        <f aca="false">IFERROR(__xludf.dummyfunction("""COMPUTED_VALUE"""),479219)</f>
        <v>479219</v>
      </c>
      <c r="AD45" s="70" t="n">
        <f aca="false">IFERROR(__xludf.dummyfunction("""COMPUTED_VALUE"""),253700)</f>
        <v>253700</v>
      </c>
      <c r="AE45" s="70" t="n">
        <f aca="false">IFERROR(__xludf.dummyfunction("""COMPUTED_VALUE"""),832160)</f>
        <v>832160</v>
      </c>
      <c r="AF45" s="70" t="n">
        <f aca="false">IFERROR(__xludf.dummyfunction("""COMPUTED_VALUE"""),0)</f>
        <v>0</v>
      </c>
      <c r="AG45" s="70" t="n">
        <f aca="false">IFERROR(__xludf.dummyfunction("""COMPUTED_VALUE"""),0)</f>
        <v>0</v>
      </c>
      <c r="AH45" s="70" t="n">
        <f aca="false">IFERROR(__xludf.dummyfunction("""COMPUTED_VALUE"""),385641)</f>
        <v>385641</v>
      </c>
      <c r="AI45" s="70" t="n">
        <f aca="false">IFERROR(__xludf.dummyfunction("""COMPUTED_VALUE"""),84419)</f>
        <v>84419</v>
      </c>
      <c r="AJ45" s="70" t="n">
        <f aca="false">IFERROR(__xludf.dummyfunction("""COMPUTED_VALUE"""),31195)</f>
        <v>31195</v>
      </c>
      <c r="AK45" s="70" t="n">
        <f aca="false">IFERROR(__xludf.dummyfunction("""COMPUTED_VALUE"""),62143)</f>
        <v>62143</v>
      </c>
      <c r="AL45" s="70" t="n">
        <f aca="false">IFERROR(__xludf.dummyfunction("""COMPUTED_VALUE"""),296944)</f>
        <v>296944</v>
      </c>
      <c r="AM45" s="70" t="n">
        <f aca="false">IFERROR(__xludf.dummyfunction("""COMPUTED_VALUE"""),2037352)</f>
        <v>2037352</v>
      </c>
      <c r="AN45" s="70" t="n">
        <f aca="false">IFERROR(__xludf.dummyfunction("""COMPUTED_VALUE"""),1543599)</f>
        <v>1543599</v>
      </c>
      <c r="AO45" s="70" t="n">
        <f aca="false">IFERROR(__xludf.dummyfunction("""COMPUTED_VALUE"""),0)</f>
        <v>0</v>
      </c>
      <c r="AP45" s="70" t="n">
        <f aca="false">IFERROR(__xludf.dummyfunction("""COMPUTED_VALUE"""),0)</f>
        <v>0</v>
      </c>
      <c r="AQ45" s="70" t="n">
        <f aca="false">IFERROR(__xludf.dummyfunction("""COMPUTED_VALUE"""),1471)</f>
        <v>1471</v>
      </c>
      <c r="AR45" s="70" t="n">
        <f aca="false">IFERROR(__xludf.dummyfunction("""COMPUTED_VALUE"""),112162)</f>
        <v>112162</v>
      </c>
      <c r="AS45" s="70" t="n">
        <f aca="false">IFERROR(__xludf.dummyfunction("""COMPUTED_VALUE"""),685)</f>
        <v>685</v>
      </c>
      <c r="AT45" s="70" t="n">
        <f aca="false">IFERROR(__xludf.dummyfunction("""COMPUTED_VALUE"""),1009)</f>
        <v>1009</v>
      </c>
      <c r="AU45" s="70" t="n">
        <f aca="false">IFERROR(__xludf.dummyfunction("""COMPUTED_VALUE"""),592600)</f>
        <v>592600</v>
      </c>
      <c r="AV45" s="70" t="n">
        <f aca="false">IFERROR(__xludf.dummyfunction("""COMPUTED_VALUE"""),0)</f>
        <v>0</v>
      </c>
      <c r="AW45" s="70" t="n">
        <f aca="false">IFERROR(__xludf.dummyfunction("""COMPUTED_VALUE"""),2000)</f>
        <v>2000</v>
      </c>
      <c r="AX45" s="70" t="n">
        <f aca="false">IFERROR(__xludf.dummyfunction("""COMPUTED_VALUE"""),2271259)</f>
        <v>2271259</v>
      </c>
      <c r="AY45" s="70" t="n">
        <f aca="false">IFERROR(__xludf.dummyfunction("""COMPUTED_VALUE"""),0)</f>
        <v>0</v>
      </c>
      <c r="AZ45" s="70" t="n">
        <f aca="false">IFERROR(__xludf.dummyfunction("""COMPUTED_VALUE"""),2069159)</f>
        <v>2069159</v>
      </c>
      <c r="BA45" s="70" t="n">
        <f aca="false">IFERROR(__xludf.dummyfunction("""COMPUTED_VALUE"""),88399)</f>
        <v>88399</v>
      </c>
    </row>
    <row r="46" customFormat="false" ht="15.75" hidden="false" customHeight="false" outlineLevel="0" collapsed="false">
      <c r="A46" s="48"/>
      <c r="B46" s="59"/>
      <c r="C46" s="60"/>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row>
    <row r="47" customFormat="false" ht="15.75" hidden="false" customHeight="false" outlineLevel="0" collapsed="false">
      <c r="A47" s="74" t="s">
        <v>695</v>
      </c>
      <c r="B47" s="6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row>
    <row r="48" customFormat="false" ht="15.75" hidden="false" customHeight="false" outlineLevel="0" collapsed="false">
      <c r="A48" s="75" t="str">
        <f aca="false">IFERROR(__xludf.dummyfunction("TRANSPOSE(IMPORTRANGE(""https://docs.google.com/spreadsheets/d/1sNrf4xlwHQ-LujHTd1_nLHq6duGtTzjk33k9jntfg4c"", ""'Structures'!F4:AK56""))"),"year_built")</f>
        <v>year_built</v>
      </c>
      <c r="B48" s="56" t="n">
        <f aca="false">IFERROR(__xludf.dummyfunction("""COMPUTED_VALUE"""),103681710)</f>
        <v>103681710</v>
      </c>
      <c r="C48" s="76" t="n">
        <f aca="false">IFERROR(__xludf.dummyfunction("""COMPUTED_VALUE"""),2114533)</f>
        <v>2114533</v>
      </c>
      <c r="D48" s="77" t="n">
        <f aca="false">IFERROR(__xludf.dummyfunction("""COMPUTED_VALUE"""),218263)</f>
        <v>218263</v>
      </c>
      <c r="E48" s="77" t="n">
        <f aca="false">IFERROR(__xludf.dummyfunction("""COMPUTED_VALUE"""),2377580)</f>
        <v>2377580</v>
      </c>
      <c r="F48" s="77" t="n">
        <f aca="false">IFERROR(__xludf.dummyfunction("""COMPUTED_VALUE"""),922773)</f>
        <v>922773</v>
      </c>
      <c r="G48" s="77" t="n">
        <f aca="false">IFERROR(__xludf.dummyfunction("""COMPUTED_VALUE"""),9924636)</f>
        <v>9924636</v>
      </c>
      <c r="H48" s="77" t="n">
        <f aca="false">IFERROR(__xludf.dummyfunction("""COMPUTED_VALUE"""),2407005)</f>
        <v>2407005</v>
      </c>
      <c r="I48" s="77" t="n">
        <f aca="false">IFERROR(__xludf.dummyfunction("""COMPUTED_VALUE"""),1207263)</f>
        <v>1207263</v>
      </c>
      <c r="J48" s="77" t="n">
        <f aca="false">IFERROR(__xludf.dummyfunction("""COMPUTED_VALUE"""),417525)</f>
        <v>417525</v>
      </c>
      <c r="K48" s="77" t="n">
        <f aca="false">IFERROR(__xludf.dummyfunction("""COMPUTED_VALUE"""),178133)</f>
        <v>178133</v>
      </c>
      <c r="L48" s="77" t="n">
        <f aca="false">IFERROR(__xludf.dummyfunction("""COMPUTED_VALUE"""),7971091)</f>
        <v>7971091</v>
      </c>
      <c r="M48" s="77" t="n">
        <f aca="false">IFERROR(__xludf.dummyfunction("""COMPUTED_VALUE"""),3871835)</f>
        <v>3871835</v>
      </c>
      <c r="N48" s="77" t="n">
        <f aca="false">IFERROR(__xludf.dummyfunction("""COMPUTED_VALUE"""),642876)</f>
        <v>642876</v>
      </c>
      <c r="O48" s="77" t="n">
        <f aca="false">IFERROR(__xludf.dummyfunction("""COMPUTED_VALUE"""),623604)</f>
        <v>623604</v>
      </c>
      <c r="P48" s="77" t="n">
        <f aca="false">IFERROR(__xludf.dummyfunction("""COMPUTED_VALUE"""),3270813)</f>
        <v>3270813</v>
      </c>
      <c r="Q48" s="77" t="n">
        <f aca="false">IFERROR(__xludf.dummyfunction("""COMPUTED_VALUE"""),2311026)</f>
        <v>2311026</v>
      </c>
      <c r="R48" s="77" t="n">
        <f aca="false">IFERROR(__xludf.dummyfunction("""COMPUTED_VALUE"""),1294225)</f>
        <v>1294225</v>
      </c>
      <c r="S48" s="77" t="n">
        <f aca="false">IFERROR(__xludf.dummyfunction("""COMPUTED_VALUE"""),1040572)</f>
        <v>1040572</v>
      </c>
      <c r="T48" s="77" t="n">
        <f aca="false">IFERROR(__xludf.dummyfunction("""COMPUTED_VALUE"""),1233731)</f>
        <v>1233731</v>
      </c>
      <c r="U48" s="77" t="n">
        <f aca="false">IFERROR(__xludf.dummyfunction("""COMPUTED_VALUE"""),557726)</f>
        <v>557726</v>
      </c>
      <c r="V48" s="77" t="n">
        <f aca="false">IFERROR(__xludf.dummyfunction("""COMPUTED_VALUE"""),387064)</f>
        <v>387064</v>
      </c>
      <c r="W48" s="77" t="n">
        <f aca="false">IFERROR(__xludf.dummyfunction("""COMPUTED_VALUE"""),2120173)</f>
        <v>2120173</v>
      </c>
      <c r="X48" s="77" t="n">
        <f aca="false">IFERROR(__xludf.dummyfunction("""COMPUTED_VALUE"""),2214688)</f>
        <v>2214688</v>
      </c>
      <c r="Y48" s="77" t="n">
        <f aca="false">IFERROR(__xludf.dummyfunction("""COMPUTED_VALUE"""),2840783)</f>
        <v>2840783</v>
      </c>
      <c r="Z48" s="77" t="n">
        <f aca="false">IFERROR(__xludf.dummyfunction("""COMPUTED_VALUE"""),1879290)</f>
        <v>1879290</v>
      </c>
      <c r="AA48" s="77" t="n">
        <f aca="false">IFERROR(__xludf.dummyfunction("""COMPUTED_VALUE"""),1101766)</f>
        <v>1101766</v>
      </c>
      <c r="AB48" s="77" t="n">
        <f aca="false">IFERROR(__xludf.dummyfunction("""COMPUTED_VALUE"""),2264128)</f>
        <v>2264128</v>
      </c>
      <c r="AC48" s="77" t="n">
        <f aca="false">IFERROR(__xludf.dummyfunction("""COMPUTED_VALUE"""),441001)</f>
        <v>441001</v>
      </c>
      <c r="AD48" s="77" t="n">
        <f aca="false">IFERROR(__xludf.dummyfunction("""COMPUTED_VALUE"""),700353)</f>
        <v>700353</v>
      </c>
      <c r="AE48" s="77" t="n">
        <f aca="false">IFERROR(__xludf.dummyfunction("""COMPUTED_VALUE"""),976222)</f>
        <v>976222</v>
      </c>
      <c r="AF48" s="77" t="n">
        <f aca="false">IFERROR(__xludf.dummyfunction("""COMPUTED_VALUE"""),568077)</f>
        <v>568077</v>
      </c>
      <c r="AG48" s="77" t="n">
        <f aca="false">IFERROR(__xludf.dummyfunction("""COMPUTED_VALUE"""),2741617)</f>
        <v>2741617</v>
      </c>
      <c r="AH48" s="77" t="n">
        <f aca="false">IFERROR(__xludf.dummyfunction("""COMPUTED_VALUE"""),620070)</f>
        <v>620070</v>
      </c>
      <c r="AI48" s="77" t="n">
        <f aca="false">IFERROR(__xludf.dummyfunction("""COMPUTED_VALUE"""),5061439)</f>
        <v>5061439</v>
      </c>
      <c r="AJ48" s="77" t="n">
        <f aca="false">IFERROR(__xludf.dummyfunction("""COMPUTED_VALUE"""),3846783)</f>
        <v>3846783</v>
      </c>
      <c r="AK48" s="77" t="n">
        <f aca="false">IFERROR(__xludf.dummyfunction("""COMPUTED_VALUE"""),99180)</f>
        <v>99180</v>
      </c>
      <c r="AL48" s="77" t="n">
        <f aca="false">IFERROR(__xludf.dummyfunction("""COMPUTED_VALUE"""),3955431)</f>
        <v>3955431</v>
      </c>
      <c r="AM48" s="77" t="n">
        <f aca="false">IFERROR(__xludf.dummyfunction("""COMPUTED_VALUE"""),1762406)</f>
        <v>1762406</v>
      </c>
      <c r="AN48" s="77" t="n">
        <f aca="false">IFERROR(__xludf.dummyfunction("""COMPUTED_VALUE"""),1528599)</f>
        <v>1528599</v>
      </c>
      <c r="AO48" s="77" t="n">
        <f aca="false">IFERROR(__xludf.dummyfunction("""COMPUTED_VALUE"""),3869188)</f>
        <v>3869188</v>
      </c>
      <c r="AP48" s="77" t="n">
        <f aca="false">IFERROR(__xludf.dummyfunction("""COMPUTED_VALUE"""),356143)</f>
        <v>356143</v>
      </c>
      <c r="AQ48" s="77" t="n">
        <f aca="false">IFERROR(__xludf.dummyfunction("""COMPUTED_VALUE"""),1890175)</f>
        <v>1890175</v>
      </c>
      <c r="AR48" s="77" t="n">
        <f aca="false">IFERROR(__xludf.dummyfunction("""COMPUTED_VALUE"""),221521)</f>
        <v>221521</v>
      </c>
      <c r="AS48" s="77" t="n">
        <f aca="false">IFERROR(__xludf.dummyfunction("""COMPUTED_VALUE"""),2893851)</f>
        <v>2893851</v>
      </c>
      <c r="AT48" s="77" t="n">
        <f aca="false">IFERROR(__xludf.dummyfunction("""COMPUTED_VALUE"""),8652667)</f>
        <v>8652667</v>
      </c>
      <c r="AU48" s="77" t="n">
        <f aca="false">IFERROR(__xludf.dummyfunction("""COMPUTED_VALUE"""),967598)</f>
        <v>967598</v>
      </c>
      <c r="AV48" s="77" t="n">
        <f aca="false">IFERROR(__xludf.dummyfunction("""COMPUTED_VALUE"""),98227)</f>
        <v>98227</v>
      </c>
      <c r="AW48" s="77" t="n">
        <f aca="false">IFERROR(__xludf.dummyfunction("""COMPUTED_VALUE"""),2721709)</f>
        <v>2721709</v>
      </c>
      <c r="AX48" s="77" t="n">
        <f aca="false">IFERROR(__xludf.dummyfunction("""COMPUTED_VALUE"""),2438969)</f>
        <v>2438969</v>
      </c>
      <c r="AY48" s="77" t="n">
        <f aca="false">IFERROR(__xludf.dummyfunction("""COMPUTED_VALUE"""),844043)</f>
        <v>844043</v>
      </c>
      <c r="AZ48" s="77" t="n">
        <f aca="false">IFERROR(__xludf.dummyfunction("""COMPUTED_VALUE"""),782865)</f>
        <v>782865</v>
      </c>
      <c r="BA48" s="77" t="n">
        <f aca="false">IFERROR(__xludf.dummyfunction("""COMPUTED_VALUE"""),250474)</f>
        <v>250474</v>
      </c>
    </row>
    <row r="49" customFormat="false" ht="15.75" hidden="false" customHeight="false" outlineLevel="0" collapsed="false">
      <c r="A49" s="78" t="str">
        <f aca="false">IFERROR(__xludf.dummyfunction("""COMPUTED_VALUE"""),"effective_year_built")</f>
        <v>effective_year_built</v>
      </c>
      <c r="B49" s="72" t="n">
        <f aca="false">IFERROR(__xludf.dummyfunction("""COMPUTED_VALUE"""),20208261)</f>
        <v>20208261</v>
      </c>
      <c r="C49" s="73" t="n">
        <f aca="false">IFERROR(__xludf.dummyfunction("""COMPUTED_VALUE"""),504725)</f>
        <v>504725</v>
      </c>
      <c r="D49" s="70" t="n">
        <f aca="false">IFERROR(__xludf.dummyfunction("""COMPUTED_VALUE"""),60886)</f>
        <v>60886</v>
      </c>
      <c r="E49" s="70" t="n">
        <f aca="false">IFERROR(__xludf.dummyfunction("""COMPUTED_VALUE"""),2509)</f>
        <v>2509</v>
      </c>
      <c r="F49" s="70" t="n">
        <f aca="false">IFERROR(__xludf.dummyfunction("""COMPUTED_VALUE"""),29857)</f>
        <v>29857</v>
      </c>
      <c r="G49" s="70" t="n">
        <f aca="false">IFERROR(__xludf.dummyfunction("""COMPUTED_VALUE"""),1485256)</f>
        <v>1485256</v>
      </c>
      <c r="H49" s="70" t="n">
        <f aca="false">IFERROR(__xludf.dummyfunction("""COMPUTED_VALUE"""),500709)</f>
        <v>500709</v>
      </c>
      <c r="I49" s="70" t="n">
        <f aca="false">IFERROR(__xludf.dummyfunction("""COMPUTED_VALUE"""),289886)</f>
        <v>289886</v>
      </c>
      <c r="J49" s="70" t="n">
        <f aca="false">IFERROR(__xludf.dummyfunction("""COMPUTED_VALUE"""),11952)</f>
        <v>11952</v>
      </c>
      <c r="K49" s="70" t="n">
        <f aca="false">IFERROR(__xludf.dummyfunction("""COMPUTED_VALUE"""),86504)</f>
        <v>86504</v>
      </c>
      <c r="L49" s="70" t="n">
        <f aca="false">IFERROR(__xludf.dummyfunction("""COMPUTED_VALUE"""),3526708)</f>
        <v>3526708</v>
      </c>
      <c r="M49" s="70" t="n">
        <f aca="false">IFERROR(__xludf.dummyfunction("""COMPUTED_VALUE"""),1010103)</f>
        <v>1010103</v>
      </c>
      <c r="N49" s="70" t="n">
        <f aca="false">IFERROR(__xludf.dummyfunction("""COMPUTED_VALUE"""),154008)</f>
        <v>154008</v>
      </c>
      <c r="O49" s="70" t="n">
        <f aca="false">IFERROR(__xludf.dummyfunction("""COMPUTED_VALUE"""),97385)</f>
        <v>97385</v>
      </c>
      <c r="P49" s="70" t="n">
        <f aca="false">IFERROR(__xludf.dummyfunction("""COMPUTED_VALUE"""),189487)</f>
        <v>189487</v>
      </c>
      <c r="Q49" s="70" t="n">
        <f aca="false">IFERROR(__xludf.dummyfunction("""COMPUTED_VALUE"""),2166601)</f>
        <v>2166601</v>
      </c>
      <c r="R49" s="70" t="n">
        <f aca="false">IFERROR(__xludf.dummyfunction("""COMPUTED_VALUE"""),40968)</f>
        <v>40968</v>
      </c>
      <c r="S49" s="70" t="n">
        <f aca="false">IFERROR(__xludf.dummyfunction("""COMPUTED_VALUE"""),109056)</f>
        <v>109056</v>
      </c>
      <c r="T49" s="70" t="n">
        <f aca="false">IFERROR(__xludf.dummyfunction("""COMPUTED_VALUE"""),8286)</f>
        <v>8286</v>
      </c>
      <c r="U49" s="70" t="n">
        <f aca="false">IFERROR(__xludf.dummyfunction("""COMPUTED_VALUE"""),33)</f>
        <v>33</v>
      </c>
      <c r="V49" s="70" t="n">
        <f aca="false">IFERROR(__xludf.dummyfunction("""COMPUTED_VALUE"""),36283)</f>
        <v>36283</v>
      </c>
      <c r="W49" s="70" t="n">
        <f aca="false">IFERROR(__xludf.dummyfunction("""COMPUTED_VALUE"""),0)</f>
        <v>0</v>
      </c>
      <c r="X49" s="70" t="n">
        <f aca="false">IFERROR(__xludf.dummyfunction("""COMPUTED_VALUE"""),455456)</f>
        <v>455456</v>
      </c>
      <c r="Y49" s="70" t="n">
        <f aca="false">IFERROR(__xludf.dummyfunction("""COMPUTED_VALUE"""),152466)</f>
        <v>152466</v>
      </c>
      <c r="Z49" s="70" t="n">
        <f aca="false">IFERROR(__xludf.dummyfunction("""COMPUTED_VALUE"""),688289)</f>
        <v>688289</v>
      </c>
      <c r="AA49" s="70" t="n">
        <f aca="false">IFERROR(__xludf.dummyfunction("""COMPUTED_VALUE"""),60873)</f>
        <v>60873</v>
      </c>
      <c r="AB49" s="70" t="n">
        <f aca="false">IFERROR(__xludf.dummyfunction("""COMPUTED_VALUE"""),153342)</f>
        <v>153342</v>
      </c>
      <c r="AC49" s="70" t="n">
        <f aca="false">IFERROR(__xludf.dummyfunction("""COMPUTED_VALUE"""),244624)</f>
        <v>244624</v>
      </c>
      <c r="AD49" s="70" t="n">
        <f aca="false">IFERROR(__xludf.dummyfunction("""COMPUTED_VALUE"""),94817)</f>
        <v>94817</v>
      </c>
      <c r="AE49" s="70" t="n">
        <f aca="false">IFERROR(__xludf.dummyfunction("""COMPUTED_VALUE"""),67118)</f>
        <v>67118</v>
      </c>
      <c r="AF49" s="70" t="n">
        <f aca="false">IFERROR(__xludf.dummyfunction("""COMPUTED_VALUE"""),67869)</f>
        <v>67869</v>
      </c>
      <c r="AG49" s="70" t="n">
        <f aca="false">IFERROR(__xludf.dummyfunction("""COMPUTED_VALUE"""),0)</f>
        <v>0</v>
      </c>
      <c r="AH49" s="70" t="n">
        <f aca="false">IFERROR(__xludf.dummyfunction("""COMPUTED_VALUE"""),84248)</f>
        <v>84248</v>
      </c>
      <c r="AI49" s="70" t="n">
        <f aca="false">IFERROR(__xludf.dummyfunction("""COMPUTED_VALUE"""),376078)</f>
        <v>376078</v>
      </c>
      <c r="AJ49" s="70" t="n">
        <f aca="false">IFERROR(__xludf.dummyfunction("""COMPUTED_VALUE"""),1413450)</f>
        <v>1413450</v>
      </c>
      <c r="AK49" s="70" t="n">
        <f aca="false">IFERROR(__xludf.dummyfunction("""COMPUTED_VALUE"""),1755)</f>
        <v>1755</v>
      </c>
      <c r="AL49" s="70" t="n">
        <f aca="false">IFERROR(__xludf.dummyfunction("""COMPUTED_VALUE"""),811446)</f>
        <v>811446</v>
      </c>
      <c r="AM49" s="70" t="n">
        <f aca="false">IFERROR(__xludf.dummyfunction("""COMPUTED_VALUE"""),131089)</f>
        <v>131089</v>
      </c>
      <c r="AN49" s="70" t="n">
        <f aca="false">IFERROR(__xludf.dummyfunction("""COMPUTED_VALUE"""),373056)</f>
        <v>373056</v>
      </c>
      <c r="AO49" s="70" t="n">
        <f aca="false">IFERROR(__xludf.dummyfunction("""COMPUTED_VALUE"""),171559)</f>
        <v>171559</v>
      </c>
      <c r="AP49" s="70" t="n">
        <f aca="false">IFERROR(__xludf.dummyfunction("""COMPUTED_VALUE"""),26010)</f>
        <v>26010</v>
      </c>
      <c r="AQ49" s="70" t="n">
        <f aca="false">IFERROR(__xludf.dummyfunction("""COMPUTED_VALUE"""),205608)</f>
        <v>205608</v>
      </c>
      <c r="AR49" s="70" t="n">
        <f aca="false">IFERROR(__xludf.dummyfunction("""COMPUTED_VALUE"""),4170)</f>
        <v>4170</v>
      </c>
      <c r="AS49" s="70" t="n">
        <f aca="false">IFERROR(__xludf.dummyfunction("""COMPUTED_VALUE"""),1735245)</f>
        <v>1735245</v>
      </c>
      <c r="AT49" s="70" t="n">
        <f aca="false">IFERROR(__xludf.dummyfunction("""COMPUTED_VALUE"""),1009569)</f>
        <v>1009569</v>
      </c>
      <c r="AU49" s="70" t="n">
        <f aca="false">IFERROR(__xludf.dummyfunction("""COMPUTED_VALUE"""),393435)</f>
        <v>393435</v>
      </c>
      <c r="AV49" s="70" t="n">
        <f aca="false">IFERROR(__xludf.dummyfunction("""COMPUTED_VALUE"""),6709)</f>
        <v>6709</v>
      </c>
      <c r="AW49" s="70" t="n">
        <f aca="false">IFERROR(__xludf.dummyfunction("""COMPUTED_VALUE"""),365588)</f>
        <v>365588</v>
      </c>
      <c r="AX49" s="70" t="n">
        <f aca="false">IFERROR(__xludf.dummyfunction("""COMPUTED_VALUE"""),662587)</f>
        <v>662587</v>
      </c>
      <c r="AY49" s="70" t="n">
        <f aca="false">IFERROR(__xludf.dummyfunction("""COMPUTED_VALUE"""),774)</f>
        <v>774</v>
      </c>
      <c r="AZ49" s="70" t="n">
        <f aca="false">IFERROR(__xludf.dummyfunction("""COMPUTED_VALUE"""),114125)</f>
        <v>114125</v>
      </c>
      <c r="BA49" s="70" t="n">
        <f aca="false">IFERROR(__xludf.dummyfunction("""COMPUTED_VALUE"""),25704)</f>
        <v>25704</v>
      </c>
    </row>
    <row r="50" customFormat="false" ht="15.75" hidden="false" customHeight="false" outlineLevel="0" collapsed="false">
      <c r="A50" s="78" t="str">
        <f aca="false">IFERROR(__xludf.dummyfunction("""COMPUTED_VALUE"""),"stories")</f>
        <v>stories</v>
      </c>
      <c r="B50" s="72" t="n">
        <f aca="false">IFERROR(__xludf.dummyfunction("""COMPUTED_VALUE"""),88119035)</f>
        <v>88119035</v>
      </c>
      <c r="C50" s="73" t="n">
        <f aca="false">IFERROR(__xludf.dummyfunction("""COMPUTED_VALUE"""),1896191)</f>
        <v>1896191</v>
      </c>
      <c r="D50" s="70" t="n">
        <f aca="false">IFERROR(__xludf.dummyfunction("""COMPUTED_VALUE"""),164454)</f>
        <v>164454</v>
      </c>
      <c r="E50" s="70" t="n">
        <f aca="false">IFERROR(__xludf.dummyfunction("""COMPUTED_VALUE"""),2308964)</f>
        <v>2308964</v>
      </c>
      <c r="F50" s="70" t="n">
        <f aca="false">IFERROR(__xludf.dummyfunction("""COMPUTED_VALUE"""),1206282)</f>
        <v>1206282</v>
      </c>
      <c r="G50" s="70" t="n">
        <f aca="false">IFERROR(__xludf.dummyfunction("""COMPUTED_VALUE"""),6058534)</f>
        <v>6058534</v>
      </c>
      <c r="H50" s="70" t="n">
        <f aca="false">IFERROR(__xludf.dummyfunction("""COMPUTED_VALUE"""),2225117)</f>
        <v>2225117</v>
      </c>
      <c r="I50" s="70" t="n">
        <f aca="false">IFERROR(__xludf.dummyfunction("""COMPUTED_VALUE"""),1209225)</f>
        <v>1209225</v>
      </c>
      <c r="J50" s="70" t="n">
        <f aca="false">IFERROR(__xludf.dummyfunction("""COMPUTED_VALUE"""),397239)</f>
        <v>397239</v>
      </c>
      <c r="K50" s="70" t="n">
        <f aca="false">IFERROR(__xludf.dummyfunction("""COMPUTED_VALUE"""),115550)</f>
        <v>115550</v>
      </c>
      <c r="L50" s="70" t="n">
        <f aca="false">IFERROR(__xludf.dummyfunction("""COMPUTED_VALUE"""),6245776)</f>
        <v>6245776</v>
      </c>
      <c r="M50" s="70" t="n">
        <f aca="false">IFERROR(__xludf.dummyfunction("""COMPUTED_VALUE"""),3541561)</f>
        <v>3541561</v>
      </c>
      <c r="N50" s="70" t="n">
        <f aca="false">IFERROR(__xludf.dummyfunction("""COMPUTED_VALUE"""),640045)</f>
        <v>640045</v>
      </c>
      <c r="O50" s="70" t="n">
        <f aca="false">IFERROR(__xludf.dummyfunction("""COMPUTED_VALUE"""),491654)</f>
        <v>491654</v>
      </c>
      <c r="P50" s="70" t="n">
        <f aca="false">IFERROR(__xludf.dummyfunction("""COMPUTED_VALUE"""),2719358)</f>
        <v>2719358</v>
      </c>
      <c r="Q50" s="70" t="n">
        <f aca="false">IFERROR(__xludf.dummyfunction("""COMPUTED_VALUE"""),2286214)</f>
        <v>2286214</v>
      </c>
      <c r="R50" s="70" t="n">
        <f aca="false">IFERROR(__xludf.dummyfunction("""COMPUTED_VALUE"""),1235741)</f>
        <v>1235741</v>
      </c>
      <c r="S50" s="70" t="n">
        <f aca="false">IFERROR(__xludf.dummyfunction("""COMPUTED_VALUE"""),970260)</f>
        <v>970260</v>
      </c>
      <c r="T50" s="70" t="n">
        <f aca="false">IFERROR(__xludf.dummyfunction("""COMPUTED_VALUE"""),1332481)</f>
        <v>1332481</v>
      </c>
      <c r="U50" s="70" t="n">
        <f aca="false">IFERROR(__xludf.dummyfunction("""COMPUTED_VALUE"""),163388)</f>
        <v>163388</v>
      </c>
      <c r="V50" s="70" t="n">
        <f aca="false">IFERROR(__xludf.dummyfunction("""COMPUTED_VALUE"""),368979)</f>
        <v>368979</v>
      </c>
      <c r="W50" s="70" t="n">
        <f aca="false">IFERROR(__xludf.dummyfunction("""COMPUTED_VALUE"""),1911356)</f>
        <v>1911356</v>
      </c>
      <c r="X50" s="70" t="n">
        <f aca="false">IFERROR(__xludf.dummyfunction("""COMPUTED_VALUE"""),2197515)</f>
        <v>2197515</v>
      </c>
      <c r="Y50" s="70" t="n">
        <f aca="false">IFERROR(__xludf.dummyfunction("""COMPUTED_VALUE"""),2303104)</f>
        <v>2303104</v>
      </c>
      <c r="Z50" s="70" t="n">
        <f aca="false">IFERROR(__xludf.dummyfunction("""COMPUTED_VALUE"""),1500022)</f>
        <v>1500022</v>
      </c>
      <c r="AA50" s="70" t="n">
        <f aca="false">IFERROR(__xludf.dummyfunction("""COMPUTED_VALUE"""),394810)</f>
        <v>394810</v>
      </c>
      <c r="AB50" s="70" t="n">
        <f aca="false">IFERROR(__xludf.dummyfunction("""COMPUTED_VALUE"""),1969797)</f>
        <v>1969797</v>
      </c>
      <c r="AC50" s="70" t="n">
        <f aca="false">IFERROR(__xludf.dummyfunction("""COMPUTED_VALUE"""),438477)</f>
        <v>438477</v>
      </c>
      <c r="AD50" s="70" t="n">
        <f aca="false">IFERROR(__xludf.dummyfunction("""COMPUTED_VALUE"""),682588)</f>
        <v>682588</v>
      </c>
      <c r="AE50" s="70" t="n">
        <f aca="false">IFERROR(__xludf.dummyfunction("""COMPUTED_VALUE"""),942903)</f>
        <v>942903</v>
      </c>
      <c r="AF50" s="70" t="n">
        <f aca="false">IFERROR(__xludf.dummyfunction("""COMPUTED_VALUE"""),567957)</f>
        <v>567957</v>
      </c>
      <c r="AG50" s="70" t="n">
        <f aca="false">IFERROR(__xludf.dummyfunction("""COMPUTED_VALUE"""),2056681)</f>
        <v>2056681</v>
      </c>
      <c r="AH50" s="70" t="n">
        <f aca="false">IFERROR(__xludf.dummyfunction("""COMPUTED_VALUE"""),441761)</f>
        <v>441761</v>
      </c>
      <c r="AI50" s="70" t="n">
        <f aca="false">IFERROR(__xludf.dummyfunction("""COMPUTED_VALUE"""),4976516)</f>
        <v>4976516</v>
      </c>
      <c r="AJ50" s="70" t="n">
        <f aca="false">IFERROR(__xludf.dummyfunction("""COMPUTED_VALUE"""),3420302)</f>
        <v>3420302</v>
      </c>
      <c r="AK50" s="70" t="n">
        <f aca="false">IFERROR(__xludf.dummyfunction("""COMPUTED_VALUE"""),91019)</f>
        <v>91019</v>
      </c>
      <c r="AL50" s="70" t="n">
        <f aca="false">IFERROR(__xludf.dummyfunction("""COMPUTED_VALUE"""),3970748)</f>
        <v>3970748</v>
      </c>
      <c r="AM50" s="70" t="n">
        <f aca="false">IFERROR(__xludf.dummyfunction("""COMPUTED_VALUE"""),1780294)</f>
        <v>1780294</v>
      </c>
      <c r="AN50" s="70" t="n">
        <f aca="false">IFERROR(__xludf.dummyfunction("""COMPUTED_VALUE"""),915027)</f>
        <v>915027</v>
      </c>
      <c r="AO50" s="70" t="n">
        <f aca="false">IFERROR(__xludf.dummyfunction("""COMPUTED_VALUE"""),3828691)</f>
        <v>3828691</v>
      </c>
      <c r="AP50" s="70" t="n">
        <f aca="false">IFERROR(__xludf.dummyfunction("""COMPUTED_VALUE"""),356556)</f>
        <v>356556</v>
      </c>
      <c r="AQ50" s="70" t="n">
        <f aca="false">IFERROR(__xludf.dummyfunction("""COMPUTED_VALUE"""),1657891)</f>
        <v>1657891</v>
      </c>
      <c r="AR50" s="70" t="n">
        <f aca="false">IFERROR(__xludf.dummyfunction("""COMPUTED_VALUE"""),90605)</f>
        <v>90605</v>
      </c>
      <c r="AS50" s="70" t="n">
        <f aca="false">IFERROR(__xludf.dummyfunction("""COMPUTED_VALUE"""),2617663)</f>
        <v>2617663</v>
      </c>
      <c r="AT50" s="70" t="n">
        <f aca="false">IFERROR(__xludf.dummyfunction("""COMPUTED_VALUE"""),5909605)</f>
        <v>5909605</v>
      </c>
      <c r="AU50" s="70" t="n">
        <f aca="false">IFERROR(__xludf.dummyfunction("""COMPUTED_VALUE"""),828766)</f>
        <v>828766</v>
      </c>
      <c r="AV50" s="70" t="n">
        <f aca="false">IFERROR(__xludf.dummyfunction("""COMPUTED_VALUE"""),71155)</f>
        <v>71155</v>
      </c>
      <c r="AW50" s="70" t="n">
        <f aca="false">IFERROR(__xludf.dummyfunction("""COMPUTED_VALUE"""),2555729)</f>
        <v>2555729</v>
      </c>
      <c r="AX50" s="70" t="n">
        <f aca="false">IFERROR(__xludf.dummyfunction("""COMPUTED_VALUE"""),2206877)</f>
        <v>2206877</v>
      </c>
      <c r="AY50" s="70" t="n">
        <f aca="false">IFERROR(__xludf.dummyfunction("""COMPUTED_VALUE"""),843779)</f>
        <v>843779</v>
      </c>
      <c r="AZ50" s="70" t="n">
        <f aca="false">IFERROR(__xludf.dummyfunction("""COMPUTED_VALUE"""),765834)</f>
        <v>765834</v>
      </c>
      <c r="BA50" s="70" t="n">
        <f aca="false">IFERROR(__xludf.dummyfunction("""COMPUTED_VALUE"""),247994)</f>
        <v>247994</v>
      </c>
    </row>
    <row r="51" customFormat="false" ht="15.75" hidden="false" customHeight="false" outlineLevel="0" collapsed="false">
      <c r="A51" s="78" t="str">
        <f aca="false">IFERROR(__xludf.dummyfunction("""COMPUTED_VALUE"""),"rooms_count")</f>
        <v>rooms_count</v>
      </c>
      <c r="B51" s="72" t="n">
        <f aca="false">IFERROR(__xludf.dummyfunction("""COMPUTED_VALUE"""),46144781)</f>
        <v>46144781</v>
      </c>
      <c r="C51" s="73" t="n">
        <f aca="false">IFERROR(__xludf.dummyfunction("""COMPUTED_VALUE"""),1153596)</f>
        <v>1153596</v>
      </c>
      <c r="D51" s="70" t="n">
        <f aca="false">IFERROR(__xludf.dummyfunction("""COMPUTED_VALUE"""),99326)</f>
        <v>99326</v>
      </c>
      <c r="E51" s="70" t="n">
        <f aca="false">IFERROR(__xludf.dummyfunction("""COMPUTED_VALUE"""),1108071)</f>
        <v>1108071</v>
      </c>
      <c r="F51" s="70" t="n">
        <f aca="false">IFERROR(__xludf.dummyfunction("""COMPUTED_VALUE"""),45321)</f>
        <v>45321</v>
      </c>
      <c r="G51" s="70" t="n">
        <f aca="false">IFERROR(__xludf.dummyfunction("""COMPUTED_VALUE"""),4717792)</f>
        <v>4717792</v>
      </c>
      <c r="H51" s="70" t="n">
        <f aca="false">IFERROR(__xludf.dummyfunction("""COMPUTED_VALUE"""),1574364)</f>
        <v>1574364</v>
      </c>
      <c r="I51" s="70" t="n">
        <f aca="false">IFERROR(__xludf.dummyfunction("""COMPUTED_VALUE"""),1194792)</f>
        <v>1194792</v>
      </c>
      <c r="J51" s="70" t="n">
        <f aca="false">IFERROR(__xludf.dummyfunction("""COMPUTED_VALUE"""),349725)</f>
        <v>349725</v>
      </c>
      <c r="K51" s="70" t="n">
        <f aca="false">IFERROR(__xludf.dummyfunction("""COMPUTED_VALUE"""),170312)</f>
        <v>170312</v>
      </c>
      <c r="L51" s="70" t="n">
        <f aca="false">IFERROR(__xludf.dummyfunction("""COMPUTED_VALUE"""),687799)</f>
        <v>687799</v>
      </c>
      <c r="M51" s="70" t="n">
        <f aca="false">IFERROR(__xludf.dummyfunction("""COMPUTED_VALUE"""),1746316)</f>
        <v>1746316</v>
      </c>
      <c r="N51" s="70" t="n">
        <f aca="false">IFERROR(__xludf.dummyfunction("""COMPUTED_VALUE"""),641283)</f>
        <v>641283</v>
      </c>
      <c r="O51" s="70" t="n">
        <f aca="false">IFERROR(__xludf.dummyfunction("""COMPUTED_VALUE"""),156749)</f>
        <v>156749</v>
      </c>
      <c r="P51" s="70" t="n">
        <f aca="false">IFERROR(__xludf.dummyfunction("""COMPUTED_VALUE"""),508261)</f>
        <v>508261</v>
      </c>
      <c r="Q51" s="70" t="n">
        <f aca="false">IFERROR(__xludf.dummyfunction("""COMPUTED_VALUE"""),2101979)</f>
        <v>2101979</v>
      </c>
      <c r="R51" s="70" t="n">
        <f aca="false">IFERROR(__xludf.dummyfunction("""COMPUTED_VALUE"""),1115646)</f>
        <v>1115646</v>
      </c>
      <c r="S51" s="70" t="n">
        <f aca="false">IFERROR(__xludf.dummyfunction("""COMPUTED_VALUE"""),1013511)</f>
        <v>1013511</v>
      </c>
      <c r="T51" s="70" t="n">
        <f aca="false">IFERROR(__xludf.dummyfunction("""COMPUTED_VALUE"""),385652)</f>
        <v>385652</v>
      </c>
      <c r="U51" s="70" t="n">
        <f aca="false">IFERROR(__xludf.dummyfunction("""COMPUTED_VALUE"""),142815)</f>
        <v>142815</v>
      </c>
      <c r="V51" s="70" t="n">
        <f aca="false">IFERROR(__xludf.dummyfunction("""COMPUTED_VALUE"""),315445)</f>
        <v>315445</v>
      </c>
      <c r="W51" s="70" t="n">
        <f aca="false">IFERROR(__xludf.dummyfunction("""COMPUTED_VALUE"""),0)</f>
        <v>0</v>
      </c>
      <c r="X51" s="70" t="n">
        <f aca="false">IFERROR(__xludf.dummyfunction("""COMPUTED_VALUE"""),2107867)</f>
        <v>2107867</v>
      </c>
      <c r="Y51" s="70" t="n">
        <f aca="false">IFERROR(__xludf.dummyfunction("""COMPUTED_VALUE"""),799055)</f>
        <v>799055</v>
      </c>
      <c r="Z51" s="70" t="n">
        <f aca="false">IFERROR(__xludf.dummyfunction("""COMPUTED_VALUE"""),842756)</f>
        <v>842756</v>
      </c>
      <c r="AA51" s="70" t="n">
        <f aca="false">IFERROR(__xludf.dummyfunction("""COMPUTED_VALUE"""),663590)</f>
        <v>663590</v>
      </c>
      <c r="AB51" s="70" t="n">
        <f aca="false">IFERROR(__xludf.dummyfunction("""COMPUTED_VALUE"""),1224502)</f>
        <v>1224502</v>
      </c>
      <c r="AC51" s="70" t="n">
        <f aca="false">IFERROR(__xludf.dummyfunction("""COMPUTED_VALUE"""),249580)</f>
        <v>249580</v>
      </c>
      <c r="AD51" s="70" t="n">
        <f aca="false">IFERROR(__xludf.dummyfunction("""COMPUTED_VALUE"""),301628)</f>
        <v>301628</v>
      </c>
      <c r="AE51" s="70" t="n">
        <f aca="false">IFERROR(__xludf.dummyfunction("""COMPUTED_VALUE"""),694810)</f>
        <v>694810</v>
      </c>
      <c r="AF51" s="70" t="n">
        <f aca="false">IFERROR(__xludf.dummyfunction("""COMPUTED_VALUE"""),405785)</f>
        <v>405785</v>
      </c>
      <c r="AG51" s="70" t="n">
        <f aca="false">IFERROR(__xludf.dummyfunction("""COMPUTED_VALUE"""),213036)</f>
        <v>213036</v>
      </c>
      <c r="AH51" s="70" t="n">
        <f aca="false">IFERROR(__xludf.dummyfunction("""COMPUTED_VALUE"""),172046)</f>
        <v>172046</v>
      </c>
      <c r="AI51" s="70" t="n">
        <f aca="false">IFERROR(__xludf.dummyfunction("""COMPUTED_VALUE"""),578542)</f>
        <v>578542</v>
      </c>
      <c r="AJ51" s="70" t="n">
        <f aca="false">IFERROR(__xludf.dummyfunction("""COMPUTED_VALUE"""),1274485)</f>
        <v>1274485</v>
      </c>
      <c r="AK51" s="70" t="n">
        <f aca="false">IFERROR(__xludf.dummyfunction("""COMPUTED_VALUE"""),48398)</f>
        <v>48398</v>
      </c>
      <c r="AL51" s="70" t="n">
        <f aca="false">IFERROR(__xludf.dummyfunction("""COMPUTED_VALUE"""),3682060)</f>
        <v>3682060</v>
      </c>
      <c r="AM51" s="70" t="n">
        <f aca="false">IFERROR(__xludf.dummyfunction("""COMPUTED_VALUE"""),1103816)</f>
        <v>1103816</v>
      </c>
      <c r="AN51" s="70" t="n">
        <f aca="false">IFERROR(__xludf.dummyfunction("""COMPUTED_VALUE"""),192144)</f>
        <v>192144</v>
      </c>
      <c r="AO51" s="70" t="n">
        <f aca="false">IFERROR(__xludf.dummyfunction("""COMPUTED_VALUE"""),3366259)</f>
        <v>3366259</v>
      </c>
      <c r="AP51" s="70" t="n">
        <f aca="false">IFERROR(__xludf.dummyfunction("""COMPUTED_VALUE"""),353092)</f>
        <v>353092</v>
      </c>
      <c r="AQ51" s="70" t="n">
        <f aca="false">IFERROR(__xludf.dummyfunction("""COMPUTED_VALUE"""),603255)</f>
        <v>603255</v>
      </c>
      <c r="AR51" s="70" t="n">
        <f aca="false">IFERROR(__xludf.dummyfunction("""COMPUTED_VALUE"""),71717)</f>
        <v>71717</v>
      </c>
      <c r="AS51" s="70" t="n">
        <f aca="false">IFERROR(__xludf.dummyfunction("""COMPUTED_VALUE"""),803461)</f>
        <v>803461</v>
      </c>
      <c r="AT51" s="70" t="n">
        <f aca="false">IFERROR(__xludf.dummyfunction("""COMPUTED_VALUE"""),2101602)</f>
        <v>2101602</v>
      </c>
      <c r="AU51" s="70" t="n">
        <f aca="false">IFERROR(__xludf.dummyfunction("""COMPUTED_VALUE"""),750953)</f>
        <v>750953</v>
      </c>
      <c r="AV51" s="70" t="n">
        <f aca="false">IFERROR(__xludf.dummyfunction("""COMPUTED_VALUE"""),97875)</f>
        <v>97875</v>
      </c>
      <c r="AW51" s="70" t="n">
        <f aca="false">IFERROR(__xludf.dummyfunction("""COMPUTED_VALUE"""),2109510)</f>
        <v>2109510</v>
      </c>
      <c r="AX51" s="70" t="n">
        <f aca="false">IFERROR(__xludf.dummyfunction("""COMPUTED_VALUE"""),510841)</f>
        <v>510841</v>
      </c>
      <c r="AY51" s="70" t="n">
        <f aca="false">IFERROR(__xludf.dummyfunction("""COMPUTED_VALUE"""),842357)</f>
        <v>842357</v>
      </c>
      <c r="AZ51" s="70" t="n">
        <f aca="false">IFERROR(__xludf.dummyfunction("""COMPUTED_VALUE"""),619403)</f>
        <v>619403</v>
      </c>
      <c r="BA51" s="70" t="n">
        <f aca="false">IFERROR(__xludf.dummyfunction("""COMPUTED_VALUE"""),131601)</f>
        <v>131601</v>
      </c>
    </row>
    <row r="52" customFormat="false" ht="15.75" hidden="false" customHeight="false" outlineLevel="0" collapsed="false">
      <c r="A52" s="78" t="str">
        <f aca="false">IFERROR(__xludf.dummyfunction("""COMPUTED_VALUE"""),"beds_count")</f>
        <v>beds_count</v>
      </c>
      <c r="B52" s="72" t="n">
        <f aca="false">IFERROR(__xludf.dummyfunction("""COMPUTED_VALUE"""),74393671)</f>
        <v>74393671</v>
      </c>
      <c r="C52" s="73" t="n">
        <f aca="false">IFERROR(__xludf.dummyfunction("""COMPUTED_VALUE"""),605612)</f>
        <v>605612</v>
      </c>
      <c r="D52" s="70" t="n">
        <f aca="false">IFERROR(__xludf.dummyfunction("""COMPUTED_VALUE"""),120786)</f>
        <v>120786</v>
      </c>
      <c r="E52" s="70" t="n">
        <f aca="false">IFERROR(__xludf.dummyfunction("""COMPUTED_VALUE"""),68154)</f>
        <v>68154</v>
      </c>
      <c r="F52" s="70" t="n">
        <f aca="false">IFERROR(__xludf.dummyfunction("""COMPUTED_VALUE"""),51466)</f>
        <v>51466</v>
      </c>
      <c r="G52" s="70" t="n">
        <f aca="false">IFERROR(__xludf.dummyfunction("""COMPUTED_VALUE"""),9679010)</f>
        <v>9679010</v>
      </c>
      <c r="H52" s="70" t="n">
        <f aca="false">IFERROR(__xludf.dummyfunction("""COMPUTED_VALUE"""),2300394)</f>
        <v>2300394</v>
      </c>
      <c r="I52" s="70" t="n">
        <f aca="false">IFERROR(__xludf.dummyfunction("""COMPUTED_VALUE"""),1208012)</f>
        <v>1208012</v>
      </c>
      <c r="J52" s="70" t="n">
        <f aca="false">IFERROR(__xludf.dummyfunction("""COMPUTED_VALUE"""),351202)</f>
        <v>351202</v>
      </c>
      <c r="K52" s="70" t="n">
        <f aca="false">IFERROR(__xludf.dummyfunction("""COMPUTED_VALUE"""),165535)</f>
        <v>165535</v>
      </c>
      <c r="L52" s="70" t="n">
        <f aca="false">IFERROR(__xludf.dummyfunction("""COMPUTED_VALUE"""),6239610)</f>
        <v>6239610</v>
      </c>
      <c r="M52" s="70" t="n">
        <f aca="false">IFERROR(__xludf.dummyfunction("""COMPUTED_VALUE"""),2866198)</f>
        <v>2866198</v>
      </c>
      <c r="N52" s="70" t="n">
        <f aca="false">IFERROR(__xludf.dummyfunction("""COMPUTED_VALUE"""),616236)</f>
        <v>616236</v>
      </c>
      <c r="O52" s="70" t="n">
        <f aca="false">IFERROR(__xludf.dummyfunction("""COMPUTED_VALUE"""),549924)</f>
        <v>549924</v>
      </c>
      <c r="P52" s="70" t="n">
        <f aca="false">IFERROR(__xludf.dummyfunction("""COMPUTED_VALUE"""),1988937)</f>
        <v>1988937</v>
      </c>
      <c r="Q52" s="70" t="n">
        <f aca="false">IFERROR(__xludf.dummyfunction("""COMPUTED_VALUE"""),2111291)</f>
        <v>2111291</v>
      </c>
      <c r="R52" s="70" t="n">
        <f aca="false">IFERROR(__xludf.dummyfunction("""COMPUTED_VALUE"""),1196077)</f>
        <v>1196077</v>
      </c>
      <c r="S52" s="70" t="n">
        <f aca="false">IFERROR(__xludf.dummyfunction("""COMPUTED_VALUE"""),1015569)</f>
        <v>1015569</v>
      </c>
      <c r="T52" s="70" t="n">
        <f aca="false">IFERROR(__xludf.dummyfunction("""COMPUTED_VALUE"""),916422)</f>
        <v>916422</v>
      </c>
      <c r="U52" s="70" t="n">
        <f aca="false">IFERROR(__xludf.dummyfunction("""COMPUTED_VALUE"""),202980)</f>
        <v>202980</v>
      </c>
      <c r="V52" s="70" t="n">
        <f aca="false">IFERROR(__xludf.dummyfunction("""COMPUTED_VALUE"""),359750)</f>
        <v>359750</v>
      </c>
      <c r="W52" s="70" t="n">
        <f aca="false">IFERROR(__xludf.dummyfunction("""COMPUTED_VALUE"""),0)</f>
        <v>0</v>
      </c>
      <c r="X52" s="70" t="n">
        <f aca="false">IFERROR(__xludf.dummyfunction("""COMPUTED_VALUE"""),2198934)</f>
        <v>2198934</v>
      </c>
      <c r="Y52" s="70" t="n">
        <f aca="false">IFERROR(__xludf.dummyfunction("""COMPUTED_VALUE"""),1797851)</f>
        <v>1797851</v>
      </c>
      <c r="Z52" s="70" t="n">
        <f aca="false">IFERROR(__xludf.dummyfunction("""COMPUTED_VALUE"""),1637880)</f>
        <v>1637880</v>
      </c>
      <c r="AA52" s="70" t="n">
        <f aca="false">IFERROR(__xludf.dummyfunction("""COMPUTED_VALUE"""),372854)</f>
        <v>372854</v>
      </c>
      <c r="AB52" s="70" t="n">
        <f aca="false">IFERROR(__xludf.dummyfunction("""COMPUTED_VALUE"""),1525781)</f>
        <v>1525781</v>
      </c>
      <c r="AC52" s="70" t="n">
        <f aca="false">IFERROR(__xludf.dummyfunction("""COMPUTED_VALUE"""),423939)</f>
        <v>423939</v>
      </c>
      <c r="AD52" s="70" t="n">
        <f aca="false">IFERROR(__xludf.dummyfunction("""COMPUTED_VALUE"""),593869)</f>
        <v>593869</v>
      </c>
      <c r="AE52" s="70" t="n">
        <f aca="false">IFERROR(__xludf.dummyfunction("""COMPUTED_VALUE"""),897925)</f>
        <v>897925</v>
      </c>
      <c r="AF52" s="70" t="n">
        <f aca="false">IFERROR(__xludf.dummyfunction("""COMPUTED_VALUE"""),568278)</f>
        <v>568278</v>
      </c>
      <c r="AG52" s="70" t="n">
        <f aca="false">IFERROR(__xludf.dummyfunction("""COMPUTED_VALUE"""),267741)</f>
        <v>267741</v>
      </c>
      <c r="AH52" s="70" t="n">
        <f aca="false">IFERROR(__xludf.dummyfunction("""COMPUTED_VALUE"""),402771)</f>
        <v>402771</v>
      </c>
      <c r="AI52" s="70" t="n">
        <f aca="false">IFERROR(__xludf.dummyfunction("""COMPUTED_VALUE"""),3125690)</f>
        <v>3125690</v>
      </c>
      <c r="AJ52" s="70" t="n">
        <f aca="false">IFERROR(__xludf.dummyfunction("""COMPUTED_VALUE"""),3002627)</f>
        <v>3002627</v>
      </c>
      <c r="AK52" s="70" t="n">
        <f aca="false">IFERROR(__xludf.dummyfunction("""COMPUTED_VALUE"""),65486)</f>
        <v>65486</v>
      </c>
      <c r="AL52" s="70" t="n">
        <f aca="false">IFERROR(__xludf.dummyfunction("""COMPUTED_VALUE"""),3852389)</f>
        <v>3852389</v>
      </c>
      <c r="AM52" s="70" t="n">
        <f aca="false">IFERROR(__xludf.dummyfunction("""COMPUTED_VALUE"""),1415531)</f>
        <v>1415531</v>
      </c>
      <c r="AN52" s="70" t="n">
        <f aca="false">IFERROR(__xludf.dummyfunction("""COMPUTED_VALUE"""),1337025)</f>
        <v>1337025</v>
      </c>
      <c r="AO52" s="70" t="n">
        <f aca="false">IFERROR(__xludf.dummyfunction("""COMPUTED_VALUE"""),3443890)</f>
        <v>3443890</v>
      </c>
      <c r="AP52" s="70" t="n">
        <f aca="false">IFERROR(__xludf.dummyfunction("""COMPUTED_VALUE"""),354495)</f>
        <v>354495</v>
      </c>
      <c r="AQ52" s="70" t="n">
        <f aca="false">IFERROR(__xludf.dummyfunction("""COMPUTED_VALUE"""),1273394)</f>
        <v>1273394</v>
      </c>
      <c r="AR52" s="70" t="n">
        <f aca="false">IFERROR(__xludf.dummyfunction("""COMPUTED_VALUE"""),152213)</f>
        <v>152213</v>
      </c>
      <c r="AS52" s="70" t="n">
        <f aca="false">IFERROR(__xludf.dummyfunction("""COMPUTED_VALUE"""),824062)</f>
        <v>824062</v>
      </c>
      <c r="AT52" s="70" t="n">
        <f aca="false">IFERROR(__xludf.dummyfunction("""COMPUTED_VALUE"""),4746276)</f>
        <v>4746276</v>
      </c>
      <c r="AU52" s="70" t="n">
        <f aca="false">IFERROR(__xludf.dummyfunction("""COMPUTED_VALUE"""),788641)</f>
        <v>788641</v>
      </c>
      <c r="AV52" s="70" t="n">
        <f aca="false">IFERROR(__xludf.dummyfunction("""COMPUTED_VALUE"""),96919)</f>
        <v>96919</v>
      </c>
      <c r="AW52" s="70" t="n">
        <f aca="false">IFERROR(__xludf.dummyfunction("""COMPUTED_VALUE"""),2582391)</f>
        <v>2582391</v>
      </c>
      <c r="AX52" s="70" t="n">
        <f aca="false">IFERROR(__xludf.dummyfunction("""COMPUTED_VALUE"""),2233904)</f>
        <v>2233904</v>
      </c>
      <c r="AY52" s="70" t="n">
        <f aca="false">IFERROR(__xludf.dummyfunction("""COMPUTED_VALUE"""),838771)</f>
        <v>838771</v>
      </c>
      <c r="AZ52" s="70" t="n">
        <f aca="false">IFERROR(__xludf.dummyfunction("""COMPUTED_VALUE"""),802952)</f>
        <v>802952</v>
      </c>
      <c r="BA52" s="70" t="n">
        <f aca="false">IFERROR(__xludf.dummyfunction("""COMPUTED_VALUE"""),156027)</f>
        <v>156027</v>
      </c>
    </row>
    <row r="53" customFormat="false" ht="15.75" hidden="false" customHeight="false" outlineLevel="0" collapsed="false">
      <c r="A53" s="78" t="str">
        <f aca="false">IFERROR(__xludf.dummyfunction("""COMPUTED_VALUE"""),"baths")</f>
        <v>baths</v>
      </c>
      <c r="B53" s="72" t="n">
        <f aca="false">IFERROR(__xludf.dummyfunction("""COMPUTED_VALUE"""),89052009)</f>
        <v>89052009</v>
      </c>
      <c r="C53" s="73" t="n">
        <f aca="false">IFERROR(__xludf.dummyfunction("""COMPUTED_VALUE"""),1794598)</f>
        <v>1794598</v>
      </c>
      <c r="D53" s="70" t="n">
        <f aca="false">IFERROR(__xludf.dummyfunction("""COMPUTED_VALUE"""),158204)</f>
        <v>158204</v>
      </c>
      <c r="E53" s="70" t="n">
        <f aca="false">IFERROR(__xludf.dummyfunction("""COMPUTED_VALUE"""),1714300)</f>
        <v>1714300</v>
      </c>
      <c r="F53" s="70" t="n">
        <f aca="false">IFERROR(__xludf.dummyfunction("""COMPUTED_VALUE"""),1061434)</f>
        <v>1061434</v>
      </c>
      <c r="G53" s="70" t="n">
        <f aca="false">IFERROR(__xludf.dummyfunction("""COMPUTED_VALUE"""),9777096)</f>
        <v>9777096</v>
      </c>
      <c r="H53" s="70" t="n">
        <f aca="false">IFERROR(__xludf.dummyfunction("""COMPUTED_VALUE"""),2334897)</f>
        <v>2334897</v>
      </c>
      <c r="I53" s="70" t="n">
        <f aca="false">IFERROR(__xludf.dummyfunction("""COMPUTED_VALUE"""),1207979)</f>
        <v>1207979</v>
      </c>
      <c r="J53" s="70" t="n">
        <f aca="false">IFERROR(__xludf.dummyfunction("""COMPUTED_VALUE"""),227820)</f>
        <v>227820</v>
      </c>
      <c r="K53" s="70" t="n">
        <f aca="false">IFERROR(__xludf.dummyfunction("""COMPUTED_VALUE"""),171017)</f>
        <v>171017</v>
      </c>
      <c r="L53" s="70" t="n">
        <f aca="false">IFERROR(__xludf.dummyfunction("""COMPUTED_VALUE"""),6944118)</f>
        <v>6944118</v>
      </c>
      <c r="M53" s="70" t="n">
        <f aca="false">IFERROR(__xludf.dummyfunction("""COMPUTED_VALUE"""),3649218)</f>
        <v>3649218</v>
      </c>
      <c r="N53" s="70" t="n">
        <f aca="false">IFERROR(__xludf.dummyfunction("""COMPUTED_VALUE"""),640178)</f>
        <v>640178</v>
      </c>
      <c r="O53" s="70" t="n">
        <f aca="false">IFERROR(__xludf.dummyfunction("""COMPUTED_VALUE"""),564143)</f>
        <v>564143</v>
      </c>
      <c r="P53" s="70" t="n">
        <f aca="false">IFERROR(__xludf.dummyfunction("""COMPUTED_VALUE"""),2375750)</f>
        <v>2375750</v>
      </c>
      <c r="Q53" s="70" t="n">
        <f aca="false">IFERROR(__xludf.dummyfunction("""COMPUTED_VALUE"""),2182611)</f>
        <v>2182611</v>
      </c>
      <c r="R53" s="70" t="n">
        <f aca="false">IFERROR(__xludf.dummyfunction("""COMPUTED_VALUE"""),1233167)</f>
        <v>1233167</v>
      </c>
      <c r="S53" s="70" t="n">
        <f aca="false">IFERROR(__xludf.dummyfunction("""COMPUTED_VALUE"""),1015647)</f>
        <v>1015647</v>
      </c>
      <c r="T53" s="70" t="n">
        <f aca="false">IFERROR(__xludf.dummyfunction("""COMPUTED_VALUE"""),1145675)</f>
        <v>1145675</v>
      </c>
      <c r="U53" s="70" t="n">
        <f aca="false">IFERROR(__xludf.dummyfunction("""COMPUTED_VALUE"""),241695)</f>
        <v>241695</v>
      </c>
      <c r="V53" s="70" t="n">
        <f aca="false">IFERROR(__xludf.dummyfunction("""COMPUTED_VALUE"""),369596)</f>
        <v>369596</v>
      </c>
      <c r="W53" s="70" t="n">
        <f aca="false">IFERROR(__xludf.dummyfunction("""COMPUTED_VALUE"""),1984982)</f>
        <v>1984982</v>
      </c>
      <c r="X53" s="70" t="n">
        <f aca="false">IFERROR(__xludf.dummyfunction("""COMPUTED_VALUE"""),2209781)</f>
        <v>2209781</v>
      </c>
      <c r="Y53" s="70" t="n">
        <f aca="false">IFERROR(__xludf.dummyfunction("""COMPUTED_VALUE"""),2990348)</f>
        <v>2990348</v>
      </c>
      <c r="Z53" s="70" t="n">
        <f aca="false">IFERROR(__xludf.dummyfunction("""COMPUTED_VALUE"""),1595149)</f>
        <v>1595149</v>
      </c>
      <c r="AA53" s="70" t="n">
        <f aca="false">IFERROR(__xludf.dummyfunction("""COMPUTED_VALUE"""),747798)</f>
        <v>747798</v>
      </c>
      <c r="AB53" s="70" t="n">
        <f aca="false">IFERROR(__xludf.dummyfunction("""COMPUTED_VALUE"""),1620635)</f>
        <v>1620635</v>
      </c>
      <c r="AC53" s="70" t="n">
        <f aca="false">IFERROR(__xludf.dummyfunction("""COMPUTED_VALUE"""),419619)</f>
        <v>419619</v>
      </c>
      <c r="AD53" s="70" t="n">
        <f aca="false">IFERROR(__xludf.dummyfunction("""COMPUTED_VALUE"""),638493)</f>
        <v>638493</v>
      </c>
      <c r="AE53" s="70" t="n">
        <f aca="false">IFERROR(__xludf.dummyfunction("""COMPUTED_VALUE"""),903134)</f>
        <v>903134</v>
      </c>
      <c r="AF53" s="70" t="n">
        <f aca="false">IFERROR(__xludf.dummyfunction("""COMPUTED_VALUE"""),567641)</f>
        <v>567641</v>
      </c>
      <c r="AG53" s="70" t="n">
        <f aca="false">IFERROR(__xludf.dummyfunction("""COMPUTED_VALUE"""),232857)</f>
        <v>232857</v>
      </c>
      <c r="AH53" s="70" t="n">
        <f aca="false">IFERROR(__xludf.dummyfunction("""COMPUTED_VALUE"""),423977)</f>
        <v>423977</v>
      </c>
      <c r="AI53" s="70" t="n">
        <f aca="false">IFERROR(__xludf.dummyfunction("""COMPUTED_VALUE"""),3482279)</f>
        <v>3482279</v>
      </c>
      <c r="AJ53" s="70" t="n">
        <f aca="false">IFERROR(__xludf.dummyfunction("""COMPUTED_VALUE"""),3593975)</f>
        <v>3593975</v>
      </c>
      <c r="AK53" s="70" t="n">
        <f aca="false">IFERROR(__xludf.dummyfunction("""COMPUTED_VALUE"""),58530)</f>
        <v>58530</v>
      </c>
      <c r="AL53" s="70" t="n">
        <f aca="false">IFERROR(__xludf.dummyfunction("""COMPUTED_VALUE"""),3961798)</f>
        <v>3961798</v>
      </c>
      <c r="AM53" s="70" t="n">
        <f aca="false">IFERROR(__xludf.dummyfunction("""COMPUTED_VALUE"""),1697670)</f>
        <v>1697670</v>
      </c>
      <c r="AN53" s="70" t="n">
        <f aca="false">IFERROR(__xludf.dummyfunction("""COMPUTED_VALUE"""),1440971)</f>
        <v>1440971</v>
      </c>
      <c r="AO53" s="70" t="n">
        <f aca="false">IFERROR(__xludf.dummyfunction("""COMPUTED_VALUE"""),3515983)</f>
        <v>3515983</v>
      </c>
      <c r="AP53" s="70" t="n">
        <f aca="false">IFERROR(__xludf.dummyfunction("""COMPUTED_VALUE"""),354527)</f>
        <v>354527</v>
      </c>
      <c r="AQ53" s="70" t="n">
        <f aca="false">IFERROR(__xludf.dummyfunction("""COMPUTED_VALUE"""),1395244)</f>
        <v>1395244</v>
      </c>
      <c r="AR53" s="70" t="n">
        <f aca="false">IFERROR(__xludf.dummyfunction("""COMPUTED_VALUE"""),141877)</f>
        <v>141877</v>
      </c>
      <c r="AS53" s="70" t="n">
        <f aca="false">IFERROR(__xludf.dummyfunction("""COMPUTED_VALUE"""),2466251)</f>
        <v>2466251</v>
      </c>
      <c r="AT53" s="70" t="n">
        <f aca="false">IFERROR(__xludf.dummyfunction("""COMPUTED_VALUE"""),6041222)</f>
        <v>6041222</v>
      </c>
      <c r="AU53" s="70" t="n">
        <f aca="false">IFERROR(__xludf.dummyfunction("""COMPUTED_VALUE"""),793986)</f>
        <v>793986</v>
      </c>
      <c r="AV53" s="70" t="n">
        <f aca="false">IFERROR(__xludf.dummyfunction("""COMPUTED_VALUE"""),97589)</f>
        <v>97589</v>
      </c>
      <c r="AW53" s="70" t="n">
        <f aca="false">IFERROR(__xludf.dummyfunction("""COMPUTED_VALUE"""),2710960)</f>
        <v>2710960</v>
      </c>
      <c r="AX53" s="70" t="n">
        <f aca="false">IFERROR(__xludf.dummyfunction("""COMPUTED_VALUE"""),2281534)</f>
        <v>2281534</v>
      </c>
      <c r="AY53" s="70" t="n">
        <f aca="false">IFERROR(__xludf.dummyfunction("""COMPUTED_VALUE"""),822018)</f>
        <v>822018</v>
      </c>
      <c r="AZ53" s="70" t="n">
        <f aca="false">IFERROR(__xludf.dummyfunction("""COMPUTED_VALUE"""),809877)</f>
        <v>809877</v>
      </c>
      <c r="BA53" s="70" t="n">
        <f aca="false">IFERROR(__xludf.dummyfunction("""COMPUTED_VALUE"""),242161)</f>
        <v>242161</v>
      </c>
    </row>
    <row r="54" customFormat="false" ht="15.75" hidden="false" customHeight="false" outlineLevel="0" collapsed="false">
      <c r="A54" s="78" t="str">
        <f aca="false">IFERROR(__xludf.dummyfunction("""COMPUTED_VALUE"""),"partial_baths_count")</f>
        <v>partial_baths_count</v>
      </c>
      <c r="B54" s="72" t="n">
        <f aca="false">IFERROR(__xludf.dummyfunction("""COMPUTED_VALUE"""),22775075)</f>
        <v>22775075</v>
      </c>
      <c r="C54" s="73" t="n">
        <f aca="false">IFERROR(__xludf.dummyfunction("""COMPUTED_VALUE"""),279979)</f>
        <v>279979</v>
      </c>
      <c r="D54" s="70" t="n">
        <f aca="false">IFERROR(__xludf.dummyfunction("""COMPUTED_VALUE"""),42594)</f>
        <v>42594</v>
      </c>
      <c r="E54" s="70" t="n">
        <f aca="false">IFERROR(__xludf.dummyfunction("""COMPUTED_VALUE"""),42183)</f>
        <v>42183</v>
      </c>
      <c r="F54" s="70" t="n">
        <f aca="false">IFERROR(__xludf.dummyfunction("""COMPUTED_VALUE"""),209666)</f>
        <v>209666</v>
      </c>
      <c r="G54" s="70" t="n">
        <f aca="false">IFERROR(__xludf.dummyfunction("""COMPUTED_VALUE"""),1230536)</f>
        <v>1230536</v>
      </c>
      <c r="H54" s="70" t="n">
        <f aca="false">IFERROR(__xludf.dummyfunction("""COMPUTED_VALUE"""),434266)</f>
        <v>434266</v>
      </c>
      <c r="I54" s="70" t="n">
        <f aca="false">IFERROR(__xludf.dummyfunction("""COMPUTED_VALUE"""),641261)</f>
        <v>641261</v>
      </c>
      <c r="J54" s="70" t="n">
        <f aca="false">IFERROR(__xludf.dummyfunction("""COMPUTED_VALUE"""),131818)</f>
        <v>131818</v>
      </c>
      <c r="K54" s="70" t="n">
        <f aca="false">IFERROR(__xludf.dummyfunction("""COMPUTED_VALUE"""),71212)</f>
        <v>71212</v>
      </c>
      <c r="L54" s="70" t="n">
        <f aca="false">IFERROR(__xludf.dummyfunction("""COMPUTED_VALUE"""),422318)</f>
        <v>422318</v>
      </c>
      <c r="M54" s="70" t="n">
        <f aca="false">IFERROR(__xludf.dummyfunction("""COMPUTED_VALUE"""),1095017)</f>
        <v>1095017</v>
      </c>
      <c r="N54" s="70" t="n">
        <f aca="false">IFERROR(__xludf.dummyfunction("""COMPUTED_VALUE"""),159673)</f>
        <v>159673</v>
      </c>
      <c r="O54" s="70" t="n">
        <f aca="false">IFERROR(__xludf.dummyfunction("""COMPUTED_VALUE"""),38574)</f>
        <v>38574</v>
      </c>
      <c r="P54" s="70" t="n">
        <f aca="false">IFERROR(__xludf.dummyfunction("""COMPUTED_VALUE"""),977722)</f>
        <v>977722</v>
      </c>
      <c r="Q54" s="70" t="n">
        <f aca="false">IFERROR(__xludf.dummyfunction("""COMPUTED_VALUE"""),731176)</f>
        <v>731176</v>
      </c>
      <c r="R54" s="70" t="n">
        <f aca="false">IFERROR(__xludf.dummyfunction("""COMPUTED_VALUE"""),426339)</f>
        <v>426339</v>
      </c>
      <c r="S54" s="70" t="n">
        <f aca="false">IFERROR(__xludf.dummyfunction("""COMPUTED_VALUE"""),311146)</f>
        <v>311146</v>
      </c>
      <c r="T54" s="70" t="n">
        <f aca="false">IFERROR(__xludf.dummyfunction("""COMPUTED_VALUE"""),267962)</f>
        <v>267962</v>
      </c>
      <c r="U54" s="70" t="n">
        <f aca="false">IFERROR(__xludf.dummyfunction("""COMPUTED_VALUE"""),20825)</f>
        <v>20825</v>
      </c>
      <c r="V54" s="70" t="n">
        <f aca="false">IFERROR(__xludf.dummyfunction("""COMPUTED_VALUE"""),113898)</f>
        <v>113898</v>
      </c>
      <c r="W54" s="70" t="n">
        <f aca="false">IFERROR(__xludf.dummyfunction("""COMPUTED_VALUE"""),1049223)</f>
        <v>1049223</v>
      </c>
      <c r="X54" s="70" t="n">
        <f aca="false">IFERROR(__xludf.dummyfunction("""COMPUTED_VALUE"""),1036052)</f>
        <v>1036052</v>
      </c>
      <c r="Y54" s="70" t="n">
        <f aca="false">IFERROR(__xludf.dummyfunction("""COMPUTED_VALUE"""),1172883)</f>
        <v>1172883</v>
      </c>
      <c r="Z54" s="70" t="n">
        <f aca="false">IFERROR(__xludf.dummyfunction("""COMPUTED_VALUE"""),236489)</f>
        <v>236489</v>
      </c>
      <c r="AA54" s="70" t="n">
        <f aca="false">IFERROR(__xludf.dummyfunction("""COMPUTED_VALUE"""),89047)</f>
        <v>89047</v>
      </c>
      <c r="AB54" s="70" t="n">
        <f aca="false">IFERROR(__xludf.dummyfunction("""COMPUTED_VALUE"""),375683)</f>
        <v>375683</v>
      </c>
      <c r="AC54" s="70" t="n">
        <f aca="false">IFERROR(__xludf.dummyfunction("""COMPUTED_VALUE"""),93456)</f>
        <v>93456</v>
      </c>
      <c r="AD54" s="70" t="n">
        <f aca="false">IFERROR(__xludf.dummyfunction("""COMPUTED_VALUE"""),34860)</f>
        <v>34860</v>
      </c>
      <c r="AE54" s="70" t="n">
        <f aca="false">IFERROR(__xludf.dummyfunction("""COMPUTED_VALUE"""),294934)</f>
        <v>294934</v>
      </c>
      <c r="AF54" s="70" t="n">
        <f aca="false">IFERROR(__xludf.dummyfunction("""COMPUTED_VALUE"""),236369)</f>
        <v>236369</v>
      </c>
      <c r="AG54" s="70" t="n">
        <f aca="false">IFERROR(__xludf.dummyfunction("""COMPUTED_VALUE"""),37)</f>
        <v>37</v>
      </c>
      <c r="AH54" s="70" t="n">
        <f aca="false">IFERROR(__xludf.dummyfunction("""COMPUTED_VALUE"""),72854)</f>
        <v>72854</v>
      </c>
      <c r="AI54" s="70" t="n">
        <f aca="false">IFERROR(__xludf.dummyfunction("""COMPUTED_VALUE"""),1179456)</f>
        <v>1179456</v>
      </c>
      <c r="AJ54" s="70" t="n">
        <f aca="false">IFERROR(__xludf.dummyfunction("""COMPUTED_VALUE"""),953693)</f>
        <v>953693</v>
      </c>
      <c r="AK54" s="70" t="n">
        <f aca="false">IFERROR(__xludf.dummyfunction("""COMPUTED_VALUE"""),5416)</f>
        <v>5416</v>
      </c>
      <c r="AL54" s="70" t="n">
        <f aca="false">IFERROR(__xludf.dummyfunction("""COMPUTED_VALUE"""),1553733)</f>
        <v>1553733</v>
      </c>
      <c r="AM54" s="70" t="n">
        <f aca="false">IFERROR(__xludf.dummyfunction("""COMPUTED_VALUE"""),204923)</f>
        <v>204923</v>
      </c>
      <c r="AN54" s="70" t="n">
        <f aca="false">IFERROR(__xludf.dummyfunction("""COMPUTED_VALUE"""),245124)</f>
        <v>245124</v>
      </c>
      <c r="AO54" s="70" t="n">
        <f aca="false">IFERROR(__xludf.dummyfunction("""COMPUTED_VALUE"""),1411803)</f>
        <v>1411803</v>
      </c>
      <c r="AP54" s="70" t="n">
        <f aca="false">IFERROR(__xludf.dummyfunction("""COMPUTED_VALUE"""),136670)</f>
        <v>136670</v>
      </c>
      <c r="AQ54" s="70" t="n">
        <f aca="false">IFERROR(__xludf.dummyfunction("""COMPUTED_VALUE"""),321996)</f>
        <v>321996</v>
      </c>
      <c r="AR54" s="70" t="n">
        <f aca="false">IFERROR(__xludf.dummyfunction("""COMPUTED_VALUE"""),15395)</f>
        <v>15395</v>
      </c>
      <c r="AS54" s="70" t="n">
        <f aca="false">IFERROR(__xludf.dummyfunction("""COMPUTED_VALUE"""),382985)</f>
        <v>382985</v>
      </c>
      <c r="AT54" s="70" t="n">
        <f aca="false">IFERROR(__xludf.dummyfunction("""COMPUTED_VALUE"""),1036821)</f>
        <v>1036821</v>
      </c>
      <c r="AU54" s="70" t="n">
        <f aca="false">IFERROR(__xludf.dummyfunction("""COMPUTED_VALUE"""),262893)</f>
        <v>262893</v>
      </c>
      <c r="AV54" s="70" t="n">
        <f aca="false">IFERROR(__xludf.dummyfunction("""COMPUTED_VALUE"""),38532)</f>
        <v>38532</v>
      </c>
      <c r="AW54" s="70" t="n">
        <f aca="false">IFERROR(__xludf.dummyfunction("""COMPUTED_VALUE"""),1284488)</f>
        <v>1284488</v>
      </c>
      <c r="AX54" s="70" t="n">
        <f aca="false">IFERROR(__xludf.dummyfunction("""COMPUTED_VALUE"""),868050)</f>
        <v>868050</v>
      </c>
      <c r="AY54" s="70" t="n">
        <f aca="false">IFERROR(__xludf.dummyfunction("""COMPUTED_VALUE"""),224441)</f>
        <v>224441</v>
      </c>
      <c r="AZ54" s="70" t="n">
        <f aca="false">IFERROR(__xludf.dummyfunction("""COMPUTED_VALUE"""),263738)</f>
        <v>263738</v>
      </c>
      <c r="BA54" s="70" t="n">
        <f aca="false">IFERROR(__xludf.dummyfunction("""COMPUTED_VALUE"""),44866)</f>
        <v>44866</v>
      </c>
    </row>
    <row r="55" customFormat="false" ht="15.75" hidden="false" customHeight="false" outlineLevel="0" collapsed="false">
      <c r="A55" s="78" t="str">
        <f aca="false">IFERROR(__xludf.dummyfunction("""COMPUTED_VALUE"""),"units_count")</f>
        <v>units_count</v>
      </c>
      <c r="B55" s="72" t="n">
        <f aca="false">IFERROR(__xludf.dummyfunction("""COMPUTED_VALUE"""),22139993)</f>
        <v>22139993</v>
      </c>
      <c r="C55" s="73" t="n">
        <f aca="false">IFERROR(__xludf.dummyfunction("""COMPUTED_VALUE"""),114944)</f>
        <v>114944</v>
      </c>
      <c r="D55" s="70" t="n">
        <f aca="false">IFERROR(__xludf.dummyfunction("""COMPUTED_VALUE"""),37726)</f>
        <v>37726</v>
      </c>
      <c r="E55" s="70" t="n">
        <f aca="false">IFERROR(__xludf.dummyfunction("""COMPUTED_VALUE"""),17790)</f>
        <v>17790</v>
      </c>
      <c r="F55" s="70" t="n">
        <f aca="false">IFERROR(__xludf.dummyfunction("""COMPUTED_VALUE"""),188)</f>
        <v>188</v>
      </c>
      <c r="G55" s="70" t="n">
        <f aca="false">IFERROR(__xludf.dummyfunction("""COMPUTED_VALUE"""),1424308)</f>
        <v>1424308</v>
      </c>
      <c r="H55" s="70" t="n">
        <f aca="false">IFERROR(__xludf.dummyfunction("""COMPUTED_VALUE"""),1003601)</f>
        <v>1003601</v>
      </c>
      <c r="I55" s="70" t="n">
        <f aca="false">IFERROR(__xludf.dummyfunction("""COMPUTED_VALUE"""),285245)</f>
        <v>285245</v>
      </c>
      <c r="J55" s="70" t="n">
        <f aca="false">IFERROR(__xludf.dummyfunction("""COMPUTED_VALUE"""),0)</f>
        <v>0</v>
      </c>
      <c r="K55" s="70" t="n">
        <f aca="false">IFERROR(__xludf.dummyfunction("""COMPUTED_VALUE"""),6481)</f>
        <v>6481</v>
      </c>
      <c r="L55" s="70" t="n">
        <f aca="false">IFERROR(__xludf.dummyfunction("""COMPUTED_VALUE"""),3421205)</f>
        <v>3421205</v>
      </c>
      <c r="M55" s="70" t="n">
        <f aca="false">IFERROR(__xludf.dummyfunction("""COMPUTED_VALUE"""),768141)</f>
        <v>768141</v>
      </c>
      <c r="N55" s="70" t="n">
        <f aca="false">IFERROR(__xludf.dummyfunction("""COMPUTED_VALUE"""),245414)</f>
        <v>245414</v>
      </c>
      <c r="O55" s="70" t="n">
        <f aca="false">IFERROR(__xludf.dummyfunction("""COMPUTED_VALUE"""),100319)</f>
        <v>100319</v>
      </c>
      <c r="P55" s="70" t="n">
        <f aca="false">IFERROR(__xludf.dummyfunction("""COMPUTED_VALUE"""),181568)</f>
        <v>181568</v>
      </c>
      <c r="Q55" s="70" t="n">
        <f aca="false">IFERROR(__xludf.dummyfunction("""COMPUTED_VALUE"""),6291)</f>
        <v>6291</v>
      </c>
      <c r="R55" s="70" t="n">
        <f aca="false">IFERROR(__xludf.dummyfunction("""COMPUTED_VALUE"""),1023)</f>
        <v>1023</v>
      </c>
      <c r="S55" s="70" t="n">
        <f aca="false">IFERROR(__xludf.dummyfunction("""COMPUTED_VALUE"""),379875)</f>
        <v>379875</v>
      </c>
      <c r="T55" s="70" t="n">
        <f aca="false">IFERROR(__xludf.dummyfunction("""COMPUTED_VALUE"""),12707)</f>
        <v>12707</v>
      </c>
      <c r="U55" s="70" t="n">
        <f aca="false">IFERROR(__xludf.dummyfunction("""COMPUTED_VALUE"""),1195)</f>
        <v>1195</v>
      </c>
      <c r="V55" s="70" t="n">
        <f aca="false">IFERROR(__xludf.dummyfunction("""COMPUTED_VALUE"""),91355)</f>
        <v>91355</v>
      </c>
      <c r="W55" s="70" t="n">
        <f aca="false">IFERROR(__xludf.dummyfunction("""COMPUTED_VALUE"""),1861313)</f>
        <v>1861313</v>
      </c>
      <c r="X55" s="70" t="n">
        <f aca="false">IFERROR(__xludf.dummyfunction("""COMPUTED_VALUE"""),549929)</f>
        <v>549929</v>
      </c>
      <c r="Y55" s="70" t="n">
        <f aca="false">IFERROR(__xludf.dummyfunction("""COMPUTED_VALUE"""),1465)</f>
        <v>1465</v>
      </c>
      <c r="Z55" s="70" t="n">
        <f aca="false">IFERROR(__xludf.dummyfunction("""COMPUTED_VALUE"""),550241)</f>
        <v>550241</v>
      </c>
      <c r="AA55" s="70" t="n">
        <f aca="false">IFERROR(__xludf.dummyfunction("""COMPUTED_VALUE"""),656)</f>
        <v>656</v>
      </c>
      <c r="AB55" s="70" t="n">
        <f aca="false">IFERROR(__xludf.dummyfunction("""COMPUTED_VALUE"""),577759)</f>
        <v>577759</v>
      </c>
      <c r="AC55" s="70" t="n">
        <f aca="false">IFERROR(__xludf.dummyfunction("""COMPUTED_VALUE"""),315192)</f>
        <v>315192</v>
      </c>
      <c r="AD55" s="70" t="n">
        <f aca="false">IFERROR(__xludf.dummyfunction("""COMPUTED_VALUE"""),189072)</f>
        <v>189072</v>
      </c>
      <c r="AE55" s="70" t="n">
        <f aca="false">IFERROR(__xludf.dummyfunction("""COMPUTED_VALUE"""),233934)</f>
        <v>233934</v>
      </c>
      <c r="AF55" s="70" t="n">
        <f aca="false">IFERROR(__xludf.dummyfunction("""COMPUTED_VALUE"""),100012)</f>
        <v>100012</v>
      </c>
      <c r="AG55" s="70" t="n">
        <f aca="false">IFERROR(__xludf.dummyfunction("""COMPUTED_VALUE"""),948758)</f>
        <v>948758</v>
      </c>
      <c r="AH55" s="70" t="n">
        <f aca="false">IFERROR(__xludf.dummyfunction("""COMPUTED_VALUE"""),19467)</f>
        <v>19467</v>
      </c>
      <c r="AI55" s="70" t="n">
        <f aca="false">IFERROR(__xludf.dummyfunction("""COMPUTED_VALUE"""),1780670)</f>
        <v>1780670</v>
      </c>
      <c r="AJ55" s="70" t="n">
        <f aca="false">IFERROR(__xludf.dummyfunction("""COMPUTED_VALUE"""),788836)</f>
        <v>788836</v>
      </c>
      <c r="AK55" s="70" t="n">
        <f aca="false">IFERROR(__xludf.dummyfunction("""COMPUTED_VALUE"""),460)</f>
        <v>460</v>
      </c>
      <c r="AL55" s="70" t="n">
        <f aca="false">IFERROR(__xludf.dummyfunction("""COMPUTED_VALUE"""),1445092)</f>
        <v>1445092</v>
      </c>
      <c r="AM55" s="70" t="n">
        <f aca="false">IFERROR(__xludf.dummyfunction("""COMPUTED_VALUE"""),288491)</f>
        <v>288491</v>
      </c>
      <c r="AN55" s="70" t="n">
        <f aca="false">IFERROR(__xludf.dummyfunction("""COMPUTED_VALUE"""),59676)</f>
        <v>59676</v>
      </c>
      <c r="AO55" s="70" t="n">
        <f aca="false">IFERROR(__xludf.dummyfunction("""COMPUTED_VALUE"""),736269)</f>
        <v>736269</v>
      </c>
      <c r="AP55" s="70" t="n">
        <f aca="false">IFERROR(__xludf.dummyfunction("""COMPUTED_VALUE"""),151552)</f>
        <v>151552</v>
      </c>
      <c r="AQ55" s="70" t="n">
        <f aca="false">IFERROR(__xludf.dummyfunction("""COMPUTED_VALUE"""),219140)</f>
        <v>219140</v>
      </c>
      <c r="AR55" s="70" t="n">
        <f aca="false">IFERROR(__xludf.dummyfunction("""COMPUTED_VALUE"""),52199)</f>
        <v>52199</v>
      </c>
      <c r="AS55" s="70" t="n">
        <f aca="false">IFERROR(__xludf.dummyfunction("""COMPUTED_VALUE"""),365322)</f>
        <v>365322</v>
      </c>
      <c r="AT55" s="70" t="n">
        <f aca="false">IFERROR(__xludf.dummyfunction("""COMPUTED_VALUE"""),615450)</f>
        <v>615450</v>
      </c>
      <c r="AU55" s="70" t="n">
        <f aca="false">IFERROR(__xludf.dummyfunction("""COMPUTED_VALUE"""),165308)</f>
        <v>165308</v>
      </c>
      <c r="AV55" s="70" t="n">
        <f aca="false">IFERROR(__xludf.dummyfunction("""COMPUTED_VALUE"""),21255)</f>
        <v>21255</v>
      </c>
      <c r="AW55" s="70" t="n">
        <f aca="false">IFERROR(__xludf.dummyfunction("""COMPUTED_VALUE"""),273206)</f>
        <v>273206</v>
      </c>
      <c r="AX55" s="70" t="n">
        <f aca="false">IFERROR(__xludf.dummyfunction("""COMPUTED_VALUE"""),468293)</f>
        <v>468293</v>
      </c>
      <c r="AY55" s="70" t="n">
        <f aca="false">IFERROR(__xludf.dummyfunction("""COMPUTED_VALUE"""),732713)</f>
        <v>732713</v>
      </c>
      <c r="AZ55" s="70" t="n">
        <f aca="false">IFERROR(__xludf.dummyfunction("""COMPUTED_VALUE"""),432519)</f>
        <v>432519</v>
      </c>
      <c r="BA55" s="70" t="n">
        <f aca="false">IFERROR(__xludf.dummyfunction("""COMPUTED_VALUE"""),96368)</f>
        <v>96368</v>
      </c>
    </row>
    <row r="56" customFormat="false" ht="15.75" hidden="false" customHeight="false" outlineLevel="0" collapsed="false">
      <c r="A56" s="78" t="str">
        <f aca="false">IFERROR(__xludf.dummyfunction("""COMPUTED_VALUE"""),"total_area_sq_ft")</f>
        <v>total_area_sq_ft</v>
      </c>
      <c r="B56" s="72" t="n">
        <f aca="false">IFERROR(__xludf.dummyfunction("""COMPUTED_VALUE"""),103447971)</f>
        <v>103447971</v>
      </c>
      <c r="C56" s="73" t="n">
        <f aca="false">IFERROR(__xludf.dummyfunction("""COMPUTED_VALUE"""),2058141)</f>
        <v>2058141</v>
      </c>
      <c r="D56" s="70" t="n">
        <f aca="false">IFERROR(__xludf.dummyfunction("""COMPUTED_VALUE"""),216838)</f>
        <v>216838</v>
      </c>
      <c r="E56" s="70" t="n">
        <f aca="false">IFERROR(__xludf.dummyfunction("""COMPUTED_VALUE"""),2342832)</f>
        <v>2342832</v>
      </c>
      <c r="F56" s="70" t="n">
        <f aca="false">IFERROR(__xludf.dummyfunction("""COMPUTED_VALUE"""),1140200)</f>
        <v>1140200</v>
      </c>
      <c r="G56" s="70" t="n">
        <f aca="false">IFERROR(__xludf.dummyfunction("""COMPUTED_VALUE"""),9952040)</f>
        <v>9952040</v>
      </c>
      <c r="H56" s="70" t="n">
        <f aca="false">IFERROR(__xludf.dummyfunction("""COMPUTED_VALUE"""),2398127)</f>
        <v>2398127</v>
      </c>
      <c r="I56" s="70" t="n">
        <f aca="false">IFERROR(__xludf.dummyfunction("""COMPUTED_VALUE"""),1135334)</f>
        <v>1135334</v>
      </c>
      <c r="J56" s="70" t="n">
        <f aca="false">IFERROR(__xludf.dummyfunction("""COMPUTED_VALUE"""),394685)</f>
        <v>394685</v>
      </c>
      <c r="K56" s="70" t="n">
        <f aca="false">IFERROR(__xludf.dummyfunction("""COMPUTED_VALUE"""),177955)</f>
        <v>177955</v>
      </c>
      <c r="L56" s="70" t="n">
        <f aca="false">IFERROR(__xludf.dummyfunction("""COMPUTED_VALUE"""),7942613)</f>
        <v>7942613</v>
      </c>
      <c r="M56" s="70" t="n">
        <f aca="false">IFERROR(__xludf.dummyfunction("""COMPUTED_VALUE"""),3803462)</f>
        <v>3803462</v>
      </c>
      <c r="N56" s="70" t="n">
        <f aca="false">IFERROR(__xludf.dummyfunction("""COMPUTED_VALUE"""),644643)</f>
        <v>644643</v>
      </c>
      <c r="O56" s="70" t="n">
        <f aca="false">IFERROR(__xludf.dummyfunction("""COMPUTED_VALUE"""),620420)</f>
        <v>620420</v>
      </c>
      <c r="P56" s="70" t="n">
        <f aca="false">IFERROR(__xludf.dummyfunction("""COMPUTED_VALUE"""),2803947)</f>
        <v>2803947</v>
      </c>
      <c r="Q56" s="70" t="n">
        <f aca="false">IFERROR(__xludf.dummyfunction("""COMPUTED_VALUE"""),2303251)</f>
        <v>2303251</v>
      </c>
      <c r="R56" s="70" t="n">
        <f aca="false">IFERROR(__xludf.dummyfunction("""COMPUTED_VALUE"""),1295811)</f>
        <v>1295811</v>
      </c>
      <c r="S56" s="70" t="n">
        <f aca="false">IFERROR(__xludf.dummyfunction("""COMPUTED_VALUE"""),1039120)</f>
        <v>1039120</v>
      </c>
      <c r="T56" s="70" t="n">
        <f aca="false">IFERROR(__xludf.dummyfunction("""COMPUTED_VALUE"""),1413729)</f>
        <v>1413729</v>
      </c>
      <c r="U56" s="70" t="n">
        <f aca="false">IFERROR(__xludf.dummyfunction("""COMPUTED_VALUE"""),817764)</f>
        <v>817764</v>
      </c>
      <c r="V56" s="70" t="n">
        <f aca="false">IFERROR(__xludf.dummyfunction("""COMPUTED_VALUE"""),389109)</f>
        <v>389109</v>
      </c>
      <c r="W56" s="70" t="n">
        <f aca="false">IFERROR(__xludf.dummyfunction("""COMPUTED_VALUE"""),2088295)</f>
        <v>2088295</v>
      </c>
      <c r="X56" s="70" t="n">
        <f aca="false">IFERROR(__xludf.dummyfunction("""COMPUTED_VALUE"""),2030796)</f>
        <v>2030796</v>
      </c>
      <c r="Y56" s="70" t="n">
        <f aca="false">IFERROR(__xludf.dummyfunction("""COMPUTED_VALUE"""),2918566)</f>
        <v>2918566</v>
      </c>
      <c r="Z56" s="70" t="n">
        <f aca="false">IFERROR(__xludf.dummyfunction("""COMPUTED_VALUE"""),1909288)</f>
        <v>1909288</v>
      </c>
      <c r="AA56" s="70" t="n">
        <f aca="false">IFERROR(__xludf.dummyfunction("""COMPUTED_VALUE"""),1127865)</f>
        <v>1127865</v>
      </c>
      <c r="AB56" s="70" t="n">
        <f aca="false">IFERROR(__xludf.dummyfunction("""COMPUTED_VALUE"""),2226164)</f>
        <v>2226164</v>
      </c>
      <c r="AC56" s="70" t="n">
        <f aca="false">IFERROR(__xludf.dummyfunction("""COMPUTED_VALUE"""),439625)</f>
        <v>439625</v>
      </c>
      <c r="AD56" s="70" t="n">
        <f aca="false">IFERROR(__xludf.dummyfunction("""COMPUTED_VALUE"""),698884)</f>
        <v>698884</v>
      </c>
      <c r="AE56" s="70" t="n">
        <f aca="false">IFERROR(__xludf.dummyfunction("""COMPUTED_VALUE"""),961195)</f>
        <v>961195</v>
      </c>
      <c r="AF56" s="70" t="n">
        <f aca="false">IFERROR(__xludf.dummyfunction("""COMPUTED_VALUE"""),527734)</f>
        <v>527734</v>
      </c>
      <c r="AG56" s="70" t="n">
        <f aca="false">IFERROR(__xludf.dummyfunction("""COMPUTED_VALUE"""),2561917)</f>
        <v>2561917</v>
      </c>
      <c r="AH56" s="70" t="n">
        <f aca="false">IFERROR(__xludf.dummyfunction("""COMPUTED_VALUE"""),641250)</f>
        <v>641250</v>
      </c>
      <c r="AI56" s="70" t="n">
        <f aca="false">IFERROR(__xludf.dummyfunction("""COMPUTED_VALUE"""),4815621)</f>
        <v>4815621</v>
      </c>
      <c r="AJ56" s="70" t="n">
        <f aca="false">IFERROR(__xludf.dummyfunction("""COMPUTED_VALUE"""),3825051)</f>
        <v>3825051</v>
      </c>
      <c r="AK56" s="70" t="n">
        <f aca="false">IFERROR(__xludf.dummyfunction("""COMPUTED_VALUE"""),92498)</f>
        <v>92498</v>
      </c>
      <c r="AL56" s="70" t="n">
        <f aca="false">IFERROR(__xludf.dummyfunction("""COMPUTED_VALUE"""),4021574)</f>
        <v>4021574</v>
      </c>
      <c r="AM56" s="70" t="n">
        <f aca="false">IFERROR(__xludf.dummyfunction("""COMPUTED_VALUE"""),1770231)</f>
        <v>1770231</v>
      </c>
      <c r="AN56" s="70" t="n">
        <f aca="false">IFERROR(__xludf.dummyfunction("""COMPUTED_VALUE"""),1464479)</f>
        <v>1464479</v>
      </c>
      <c r="AO56" s="70" t="n">
        <f aca="false">IFERROR(__xludf.dummyfunction("""COMPUTED_VALUE"""),3930300)</f>
        <v>3930300</v>
      </c>
      <c r="AP56" s="70" t="n">
        <f aca="false">IFERROR(__xludf.dummyfunction("""COMPUTED_VALUE"""),321226)</f>
        <v>321226</v>
      </c>
      <c r="AQ56" s="70" t="n">
        <f aca="false">IFERROR(__xludf.dummyfunction("""COMPUTED_VALUE"""),1926706)</f>
        <v>1926706</v>
      </c>
      <c r="AR56" s="70" t="n">
        <f aca="false">IFERROR(__xludf.dummyfunction("""COMPUTED_VALUE"""),184209)</f>
        <v>184209</v>
      </c>
      <c r="AS56" s="70" t="n">
        <f aca="false">IFERROR(__xludf.dummyfunction("""COMPUTED_VALUE"""),2880314)</f>
        <v>2880314</v>
      </c>
      <c r="AT56" s="70" t="n">
        <f aca="false">IFERROR(__xludf.dummyfunction("""COMPUTED_VALUE"""),9070677)</f>
        <v>9070677</v>
      </c>
      <c r="AU56" s="70" t="n">
        <f aca="false">IFERROR(__xludf.dummyfunction("""COMPUTED_VALUE"""),979470)</f>
        <v>979470</v>
      </c>
      <c r="AV56" s="70" t="n">
        <f aca="false">IFERROR(__xludf.dummyfunction("""COMPUTED_VALUE"""),97881)</f>
        <v>97881</v>
      </c>
      <c r="AW56" s="70" t="n">
        <f aca="false">IFERROR(__xludf.dummyfunction("""COMPUTED_VALUE"""),2734966)</f>
        <v>2734966</v>
      </c>
      <c r="AX56" s="70" t="n">
        <f aca="false">IFERROR(__xludf.dummyfunction("""COMPUTED_VALUE"""),2444939)</f>
        <v>2444939</v>
      </c>
      <c r="AY56" s="70" t="n">
        <f aca="false">IFERROR(__xludf.dummyfunction("""COMPUTED_VALUE"""),841790)</f>
        <v>841790</v>
      </c>
      <c r="AZ56" s="70" t="n">
        <f aca="false">IFERROR(__xludf.dummyfunction("""COMPUTED_VALUE"""),757760)</f>
        <v>757760</v>
      </c>
      <c r="BA56" s="70" t="n">
        <f aca="false">IFERROR(__xludf.dummyfunction("""COMPUTED_VALUE"""),250123)</f>
        <v>250123</v>
      </c>
    </row>
    <row r="57" customFormat="false" ht="15.75" hidden="false" customHeight="false" outlineLevel="0" collapsed="false">
      <c r="A57" s="78" t="str">
        <f aca="false">IFERROR(__xludf.dummyfunction("""COMPUTED_VALUE"""),"air_conditioning_type")</f>
        <v>air_conditioning_type</v>
      </c>
      <c r="B57" s="72" t="n">
        <f aca="false">IFERROR(__xludf.dummyfunction("""COMPUTED_VALUE"""),61584352)</f>
        <v>61584352</v>
      </c>
      <c r="C57" s="73" t="n">
        <f aca="false">IFERROR(__xludf.dummyfunction("""COMPUTED_VALUE"""),1401822)</f>
        <v>1401822</v>
      </c>
      <c r="D57" s="70" t="n">
        <f aca="false">IFERROR(__xludf.dummyfunction("""COMPUTED_VALUE"""),1021)</f>
        <v>1021</v>
      </c>
      <c r="E57" s="70" t="n">
        <f aca="false">IFERROR(__xludf.dummyfunction("""COMPUTED_VALUE"""),1978810)</f>
        <v>1978810</v>
      </c>
      <c r="F57" s="70" t="n">
        <f aca="false">IFERROR(__xludf.dummyfunction("""COMPUTED_VALUE"""),1047338)</f>
        <v>1047338</v>
      </c>
      <c r="G57" s="70" t="n">
        <f aca="false">IFERROR(__xludf.dummyfunction("""COMPUTED_VALUE"""),4457321)</f>
        <v>4457321</v>
      </c>
      <c r="H57" s="70" t="n">
        <f aca="false">IFERROR(__xludf.dummyfunction("""COMPUTED_VALUE"""),1070301)</f>
        <v>1070301</v>
      </c>
      <c r="I57" s="70" t="n">
        <f aca="false">IFERROR(__xludf.dummyfunction("""COMPUTED_VALUE"""),552026)</f>
        <v>552026</v>
      </c>
      <c r="J57" s="70" t="n">
        <f aca="false">IFERROR(__xludf.dummyfunction("""COMPUTED_VALUE"""),350196)</f>
        <v>350196</v>
      </c>
      <c r="K57" s="70" t="n">
        <f aca="false">IFERROR(__xludf.dummyfunction("""COMPUTED_VALUE"""),108172)</f>
        <v>108172</v>
      </c>
      <c r="L57" s="70" t="n">
        <f aca="false">IFERROR(__xludf.dummyfunction("""COMPUTED_VALUE"""),5298885)</f>
        <v>5298885</v>
      </c>
      <c r="M57" s="70" t="n">
        <f aca="false">IFERROR(__xludf.dummyfunction("""COMPUTED_VALUE"""),3105199)</f>
        <v>3105199</v>
      </c>
      <c r="N57" s="70" t="n">
        <f aca="false">IFERROR(__xludf.dummyfunction("""COMPUTED_VALUE"""),364768)</f>
        <v>364768</v>
      </c>
      <c r="O57" s="70" t="n">
        <f aca="false">IFERROR(__xludf.dummyfunction("""COMPUTED_VALUE"""),492759)</f>
        <v>492759</v>
      </c>
      <c r="P57" s="70" t="n">
        <f aca="false">IFERROR(__xludf.dummyfunction("""COMPUTED_VALUE"""),1649362)</f>
        <v>1649362</v>
      </c>
      <c r="Q57" s="70" t="n">
        <f aca="false">IFERROR(__xludf.dummyfunction("""COMPUTED_VALUE"""),1826572)</f>
        <v>1826572</v>
      </c>
      <c r="R57" s="70" t="n">
        <f aca="false">IFERROR(__xludf.dummyfunction("""COMPUTED_VALUE"""),1144604)</f>
        <v>1144604</v>
      </c>
      <c r="S57" s="70" t="n">
        <f aca="false">IFERROR(__xludf.dummyfunction("""COMPUTED_VALUE"""),755473)</f>
        <v>755473</v>
      </c>
      <c r="T57" s="70" t="n">
        <f aca="false">IFERROR(__xludf.dummyfunction("""COMPUTED_VALUE"""),1153050)</f>
        <v>1153050</v>
      </c>
      <c r="U57" s="70" t="n">
        <f aca="false">IFERROR(__xludf.dummyfunction("""COMPUTED_VALUE"""),86888)</f>
        <v>86888</v>
      </c>
      <c r="V57" s="70" t="n">
        <f aca="false">IFERROR(__xludf.dummyfunction("""COMPUTED_VALUE"""),25555)</f>
        <v>25555</v>
      </c>
      <c r="W57" s="70" t="n">
        <f aca="false">IFERROR(__xludf.dummyfunction("""COMPUTED_VALUE"""),1545099)</f>
        <v>1545099</v>
      </c>
      <c r="X57" s="70" t="n">
        <f aca="false">IFERROR(__xludf.dummyfunction("""COMPUTED_VALUE"""),810867)</f>
        <v>810867</v>
      </c>
      <c r="Y57" s="70" t="n">
        <f aca="false">IFERROR(__xludf.dummyfunction("""COMPUTED_VALUE"""),1659469)</f>
        <v>1659469</v>
      </c>
      <c r="Z57" s="70" t="n">
        <f aca="false">IFERROR(__xludf.dummyfunction("""COMPUTED_VALUE"""),1207295)</f>
        <v>1207295</v>
      </c>
      <c r="AA57" s="70" t="n">
        <f aca="false">IFERROR(__xludf.dummyfunction("""COMPUTED_VALUE"""),502308)</f>
        <v>502308</v>
      </c>
      <c r="AB57" s="70" t="n">
        <f aca="false">IFERROR(__xludf.dummyfunction("""COMPUTED_VALUE"""),1318135)</f>
        <v>1318135</v>
      </c>
      <c r="AC57" s="70" t="n">
        <f aca="false">IFERROR(__xludf.dummyfunction("""COMPUTED_VALUE"""),423028)</f>
        <v>423028</v>
      </c>
      <c r="AD57" s="70" t="n">
        <f aca="false">IFERROR(__xludf.dummyfunction("""COMPUTED_VALUE"""),542908)</f>
        <v>542908</v>
      </c>
      <c r="AE57" s="70" t="n">
        <f aca="false">IFERROR(__xludf.dummyfunction("""COMPUTED_VALUE"""),793770)</f>
        <v>793770</v>
      </c>
      <c r="AF57" s="70" t="n">
        <f aca="false">IFERROR(__xludf.dummyfunction("""COMPUTED_VALUE"""),150677)</f>
        <v>150677</v>
      </c>
      <c r="AG57" s="70" t="n">
        <f aca="false">IFERROR(__xludf.dummyfunction("""COMPUTED_VALUE"""),3497)</f>
        <v>3497</v>
      </c>
      <c r="AH57" s="70" t="n">
        <f aca="false">IFERROR(__xludf.dummyfunction("""COMPUTED_VALUE"""),136656)</f>
        <v>136656</v>
      </c>
      <c r="AI57" s="70" t="n">
        <f aca="false">IFERROR(__xludf.dummyfunction("""COMPUTED_VALUE"""),861938)</f>
        <v>861938</v>
      </c>
      <c r="AJ57" s="70" t="n">
        <f aca="false">IFERROR(__xludf.dummyfunction("""COMPUTED_VALUE"""),3269175)</f>
        <v>3269175</v>
      </c>
      <c r="AK57" s="70" t="n">
        <f aca="false">IFERROR(__xludf.dummyfunction("""COMPUTED_VALUE"""),41365)</f>
        <v>41365</v>
      </c>
      <c r="AL57" s="70" t="n">
        <f aca="false">IFERROR(__xludf.dummyfunction("""COMPUTED_VALUE"""),3174488)</f>
        <v>3174488</v>
      </c>
      <c r="AM57" s="70" t="n">
        <f aca="false">IFERROR(__xludf.dummyfunction("""COMPUTED_VALUE"""),1644960)</f>
        <v>1644960</v>
      </c>
      <c r="AN57" s="70" t="n">
        <f aca="false">IFERROR(__xludf.dummyfunction("""COMPUTED_VALUE"""),275011)</f>
        <v>275011</v>
      </c>
      <c r="AO57" s="70" t="n">
        <f aca="false">IFERROR(__xludf.dummyfunction("""COMPUTED_VALUE"""),2041282)</f>
        <v>2041282</v>
      </c>
      <c r="AP57" s="70" t="n">
        <f aca="false">IFERROR(__xludf.dummyfunction("""COMPUTED_VALUE"""),115818)</f>
        <v>115818</v>
      </c>
      <c r="AQ57" s="70" t="n">
        <f aca="false">IFERROR(__xludf.dummyfunction("""COMPUTED_VALUE"""),1013246)</f>
        <v>1013246</v>
      </c>
      <c r="AR57" s="70" t="n">
        <f aca="false">IFERROR(__xludf.dummyfunction("""COMPUTED_VALUE"""),89907)</f>
        <v>89907</v>
      </c>
      <c r="AS57" s="70" t="n">
        <f aca="false">IFERROR(__xludf.dummyfunction("""COMPUTED_VALUE"""),2307948)</f>
        <v>2307948</v>
      </c>
      <c r="AT57" s="70" t="n">
        <f aca="false">IFERROR(__xludf.dummyfunction("""COMPUTED_VALUE"""),5927339)</f>
        <v>5927339</v>
      </c>
      <c r="AU57" s="70" t="n">
        <f aca="false">IFERROR(__xludf.dummyfunction("""COMPUTED_VALUE"""),684401)</f>
        <v>684401</v>
      </c>
      <c r="AV57" s="70" t="n">
        <f aca="false">IFERROR(__xludf.dummyfunction("""COMPUTED_VALUE"""),1791)</f>
        <v>1791</v>
      </c>
      <c r="AW57" s="70" t="n">
        <f aca="false">IFERROR(__xludf.dummyfunction("""COMPUTED_VALUE"""),2367820)</f>
        <v>2367820</v>
      </c>
      <c r="AX57" s="70" t="n">
        <f aca="false">IFERROR(__xludf.dummyfunction("""COMPUTED_VALUE"""),570260)</f>
        <v>570260</v>
      </c>
      <c r="AY57" s="70" t="n">
        <f aca="false">IFERROR(__xludf.dummyfunction("""COMPUTED_VALUE"""),713480)</f>
        <v>713480</v>
      </c>
      <c r="AZ57" s="70" t="n">
        <f aca="false">IFERROR(__xludf.dummyfunction("""COMPUTED_VALUE"""),453551)</f>
        <v>453551</v>
      </c>
      <c r="BA57" s="70" t="n">
        <f aca="false">IFERROR(__xludf.dummyfunction("""COMPUTED_VALUE"""),66741)</f>
        <v>66741</v>
      </c>
    </row>
    <row r="58" customFormat="false" ht="15.75" hidden="false" customHeight="false" outlineLevel="0" collapsed="false">
      <c r="A58" s="78" t="str">
        <f aca="false">IFERROR(__xludf.dummyfunction("""COMPUTED_VALUE"""),"amenities")</f>
        <v>amenities</v>
      </c>
      <c r="B58" s="72" t="n">
        <f aca="false">IFERROR(__xludf.dummyfunction("""COMPUTED_VALUE"""),2538417)</f>
        <v>2538417</v>
      </c>
      <c r="C58" s="73" t="n">
        <f aca="false">IFERROR(__xludf.dummyfunction("""COMPUTED_VALUE"""),28275)</f>
        <v>28275</v>
      </c>
      <c r="D58" s="70" t="n">
        <f aca="false">IFERROR(__xludf.dummyfunction("""COMPUTED_VALUE"""),3721)</f>
        <v>3721</v>
      </c>
      <c r="E58" s="70" t="n">
        <f aca="false">IFERROR(__xludf.dummyfunction("""COMPUTED_VALUE"""),7265)</f>
        <v>7265</v>
      </c>
      <c r="F58" s="70" t="n">
        <f aca="false">IFERROR(__xludf.dummyfunction("""COMPUTED_VALUE"""),46183)</f>
        <v>46183</v>
      </c>
      <c r="G58" s="70" t="n">
        <f aca="false">IFERROR(__xludf.dummyfunction("""COMPUTED_VALUE"""),47746)</f>
        <v>47746</v>
      </c>
      <c r="H58" s="70" t="n">
        <f aca="false">IFERROR(__xludf.dummyfunction("""COMPUTED_VALUE"""),138420)</f>
        <v>138420</v>
      </c>
      <c r="I58" s="70" t="n">
        <f aca="false">IFERROR(__xludf.dummyfunction("""COMPUTED_VALUE"""),18882)</f>
        <v>18882</v>
      </c>
      <c r="J58" s="70" t="n">
        <f aca="false">IFERROR(__xludf.dummyfunction("""COMPUTED_VALUE"""),984)</f>
        <v>984</v>
      </c>
      <c r="K58" s="70" t="n">
        <f aca="false">IFERROR(__xludf.dummyfunction("""COMPUTED_VALUE"""),0)</f>
        <v>0</v>
      </c>
      <c r="L58" s="70" t="n">
        <f aca="false">IFERROR(__xludf.dummyfunction("""COMPUTED_VALUE"""),455885)</f>
        <v>455885</v>
      </c>
      <c r="M58" s="70" t="n">
        <f aca="false">IFERROR(__xludf.dummyfunction("""COMPUTED_VALUE"""),93352)</f>
        <v>93352</v>
      </c>
      <c r="N58" s="70" t="n">
        <f aca="false">IFERROR(__xludf.dummyfunction("""COMPUTED_VALUE"""),1486)</f>
        <v>1486</v>
      </c>
      <c r="O58" s="70" t="n">
        <f aca="false">IFERROR(__xludf.dummyfunction("""COMPUTED_VALUE"""),22460)</f>
        <v>22460</v>
      </c>
      <c r="P58" s="70" t="n">
        <f aca="false">IFERROR(__xludf.dummyfunction("""COMPUTED_VALUE"""),369)</f>
        <v>369</v>
      </c>
      <c r="Q58" s="70" t="n">
        <f aca="false">IFERROR(__xludf.dummyfunction("""COMPUTED_VALUE"""),1854)</f>
        <v>1854</v>
      </c>
      <c r="R58" s="70" t="n">
        <f aca="false">IFERROR(__xludf.dummyfunction("""COMPUTED_VALUE"""),2846)</f>
        <v>2846</v>
      </c>
      <c r="S58" s="70" t="n">
        <f aca="false">IFERROR(__xludf.dummyfunction("""COMPUTED_VALUE"""),3706)</f>
        <v>3706</v>
      </c>
      <c r="T58" s="70" t="n">
        <f aca="false">IFERROR(__xludf.dummyfunction("""COMPUTED_VALUE"""),39604)</f>
        <v>39604</v>
      </c>
      <c r="U58" s="70" t="n">
        <f aca="false">IFERROR(__xludf.dummyfunction("""COMPUTED_VALUE"""),85)</f>
        <v>85</v>
      </c>
      <c r="V58" s="70" t="n">
        <f aca="false">IFERROR(__xludf.dummyfunction("""COMPUTED_VALUE"""),2975)</f>
        <v>2975</v>
      </c>
      <c r="W58" s="70" t="n">
        <f aca="false">IFERROR(__xludf.dummyfunction("""COMPUTED_VALUE"""),37348)</f>
        <v>37348</v>
      </c>
      <c r="X58" s="70" t="n">
        <f aca="false">IFERROR(__xludf.dummyfunction("""COMPUTED_VALUE"""),14621)</f>
        <v>14621</v>
      </c>
      <c r="Y58" s="70" t="n">
        <f aca="false">IFERROR(__xludf.dummyfunction("""COMPUTED_VALUE"""),6169)</f>
        <v>6169</v>
      </c>
      <c r="Z58" s="70" t="n">
        <f aca="false">IFERROR(__xludf.dummyfunction("""COMPUTED_VALUE"""),130509)</f>
        <v>130509</v>
      </c>
      <c r="AA58" s="70" t="n">
        <f aca="false">IFERROR(__xludf.dummyfunction("""COMPUTED_VALUE"""),12141)</f>
        <v>12141</v>
      </c>
      <c r="AB58" s="70" t="n">
        <f aca="false">IFERROR(__xludf.dummyfunction("""COMPUTED_VALUE"""),10853)</f>
        <v>10853</v>
      </c>
      <c r="AC58" s="70" t="n">
        <f aca="false">IFERROR(__xludf.dummyfunction("""COMPUTED_VALUE"""),4497)</f>
        <v>4497</v>
      </c>
      <c r="AD58" s="70" t="n">
        <f aca="false">IFERROR(__xludf.dummyfunction("""COMPUTED_VALUE"""),95777)</f>
        <v>95777</v>
      </c>
      <c r="AE58" s="70" t="n">
        <f aca="false">IFERROR(__xludf.dummyfunction("""COMPUTED_VALUE"""),572998)</f>
        <v>572998</v>
      </c>
      <c r="AF58" s="70" t="n">
        <f aca="false">IFERROR(__xludf.dummyfunction("""COMPUTED_VALUE"""),7969)</f>
        <v>7969</v>
      </c>
      <c r="AG58" s="70" t="n">
        <f aca="false">IFERROR(__xludf.dummyfunction("""COMPUTED_VALUE"""),0)</f>
        <v>0</v>
      </c>
      <c r="AH58" s="70" t="n">
        <f aca="false">IFERROR(__xludf.dummyfunction("""COMPUTED_VALUE"""),4495)</f>
        <v>4495</v>
      </c>
      <c r="AI58" s="70" t="n">
        <f aca="false">IFERROR(__xludf.dummyfunction("""COMPUTED_VALUE"""),33583)</f>
        <v>33583</v>
      </c>
      <c r="AJ58" s="70" t="n">
        <f aca="false">IFERROR(__xludf.dummyfunction("""COMPUTED_VALUE"""),75451)</f>
        <v>75451</v>
      </c>
      <c r="AK58" s="70" t="n">
        <f aca="false">IFERROR(__xludf.dummyfunction("""COMPUTED_VALUE"""),25)</f>
        <v>25</v>
      </c>
      <c r="AL58" s="70" t="n">
        <f aca="false">IFERROR(__xludf.dummyfunction("""COMPUTED_VALUE"""),23367)</f>
        <v>23367</v>
      </c>
      <c r="AM58" s="70" t="n">
        <f aca="false">IFERROR(__xludf.dummyfunction("""COMPUTED_VALUE"""),79128)</f>
        <v>79128</v>
      </c>
      <c r="AN58" s="70" t="n">
        <f aca="false">IFERROR(__xludf.dummyfunction("""COMPUTED_VALUE"""),37351)</f>
        <v>37351</v>
      </c>
      <c r="AO58" s="70" t="n">
        <f aca="false">IFERROR(__xludf.dummyfunction("""COMPUTED_VALUE"""),1382)</f>
        <v>1382</v>
      </c>
      <c r="AP58" s="70" t="n">
        <f aca="false">IFERROR(__xludf.dummyfunction("""COMPUTED_VALUE"""),5044)</f>
        <v>5044</v>
      </c>
      <c r="AQ58" s="70" t="n">
        <f aca="false">IFERROR(__xludf.dummyfunction("""COMPUTED_VALUE"""),14704)</f>
        <v>14704</v>
      </c>
      <c r="AR58" s="70" t="n">
        <f aca="false">IFERROR(__xludf.dummyfunction("""COMPUTED_VALUE"""),286)</f>
        <v>286</v>
      </c>
      <c r="AS58" s="70" t="n">
        <f aca="false">IFERROR(__xludf.dummyfunction("""COMPUTED_VALUE"""),19027)</f>
        <v>19027</v>
      </c>
      <c r="AT58" s="70" t="n">
        <f aca="false">IFERROR(__xludf.dummyfunction("""COMPUTED_VALUE"""),273981)</f>
        <v>273981</v>
      </c>
      <c r="AU58" s="70" t="n">
        <f aca="false">IFERROR(__xludf.dummyfunction("""COMPUTED_VALUE"""),6210)</f>
        <v>6210</v>
      </c>
      <c r="AV58" s="70" t="n">
        <f aca="false">IFERROR(__xludf.dummyfunction("""COMPUTED_VALUE"""),9)</f>
        <v>9</v>
      </c>
      <c r="AW58" s="70" t="n">
        <f aca="false">IFERROR(__xludf.dummyfunction("""COMPUTED_VALUE"""),36890)</f>
        <v>36890</v>
      </c>
      <c r="AX58" s="70" t="n">
        <f aca="false">IFERROR(__xludf.dummyfunction("""COMPUTED_VALUE"""),106520)</f>
        <v>106520</v>
      </c>
      <c r="AY58" s="70" t="n">
        <f aca="false">IFERROR(__xludf.dummyfunction("""COMPUTED_VALUE"""),490)</f>
        <v>490</v>
      </c>
      <c r="AZ58" s="70" t="n">
        <f aca="false">IFERROR(__xludf.dummyfunction("""COMPUTED_VALUE"""),1797)</f>
        <v>1797</v>
      </c>
      <c r="BA58" s="70" t="n">
        <f aca="false">IFERROR(__xludf.dummyfunction("""COMPUTED_VALUE"""),9697)</f>
        <v>9697</v>
      </c>
    </row>
    <row r="59" customFormat="false" ht="15.75" hidden="false" customHeight="false" outlineLevel="0" collapsed="false">
      <c r="A59" s="78" t="str">
        <f aca="false">IFERROR(__xludf.dummyfunction("""COMPUTED_VALUE"""),"architecture_type")</f>
        <v>architecture_type</v>
      </c>
      <c r="B59" s="72" t="n">
        <f aca="false">IFERROR(__xludf.dummyfunction("""COMPUTED_VALUE"""),29536414)</f>
        <v>29536414</v>
      </c>
      <c r="C59" s="73" t="n">
        <f aca="false">IFERROR(__xludf.dummyfunction("""COMPUTED_VALUE"""),6020)</f>
        <v>6020</v>
      </c>
      <c r="D59" s="70" t="n">
        <f aca="false">IFERROR(__xludf.dummyfunction("""COMPUTED_VALUE"""),32792)</f>
        <v>32792</v>
      </c>
      <c r="E59" s="70" t="n">
        <f aca="false">IFERROR(__xludf.dummyfunction("""COMPUTED_VALUE"""),62283)</f>
        <v>62283</v>
      </c>
      <c r="F59" s="70" t="n">
        <f aca="false">IFERROR(__xludf.dummyfunction("""COMPUTED_VALUE"""),4356)</f>
        <v>4356</v>
      </c>
      <c r="G59" s="70" t="n">
        <f aca="false">IFERROR(__xludf.dummyfunction("""COMPUTED_VALUE"""),621538)</f>
        <v>621538</v>
      </c>
      <c r="H59" s="70" t="n">
        <f aca="false">IFERROR(__xludf.dummyfunction("""COMPUTED_VALUE"""),887391)</f>
        <v>887391</v>
      </c>
      <c r="I59" s="70" t="n">
        <f aca="false">IFERROR(__xludf.dummyfunction("""COMPUTED_VALUE"""),983654)</f>
        <v>983654</v>
      </c>
      <c r="J59" s="70" t="n">
        <f aca="false">IFERROR(__xludf.dummyfunction("""COMPUTED_VALUE"""),184487)</f>
        <v>184487</v>
      </c>
      <c r="K59" s="70" t="n">
        <f aca="false">IFERROR(__xludf.dummyfunction("""COMPUTED_VALUE"""),0)</f>
        <v>0</v>
      </c>
      <c r="L59" s="70" t="n">
        <f aca="false">IFERROR(__xludf.dummyfunction("""COMPUTED_VALUE"""),665607)</f>
        <v>665607</v>
      </c>
      <c r="M59" s="70" t="n">
        <f aca="false">IFERROR(__xludf.dummyfunction("""COMPUTED_VALUE"""),1030328)</f>
        <v>1030328</v>
      </c>
      <c r="N59" s="70" t="n">
        <f aca="false">IFERROR(__xludf.dummyfunction("""COMPUTED_VALUE"""),324870)</f>
        <v>324870</v>
      </c>
      <c r="O59" s="70" t="n">
        <f aca="false">IFERROR(__xludf.dummyfunction("""COMPUTED_VALUE"""),114647)</f>
        <v>114647</v>
      </c>
      <c r="P59" s="70" t="n">
        <f aca="false">IFERROR(__xludf.dummyfunction("""COMPUTED_VALUE"""),408774)</f>
        <v>408774</v>
      </c>
      <c r="Q59" s="70" t="n">
        <f aca="false">IFERROR(__xludf.dummyfunction("""COMPUTED_VALUE"""),0)</f>
        <v>0</v>
      </c>
      <c r="R59" s="70" t="n">
        <f aca="false">IFERROR(__xludf.dummyfunction("""COMPUTED_VALUE"""),247256)</f>
        <v>247256</v>
      </c>
      <c r="S59" s="70" t="n">
        <f aca="false">IFERROR(__xludf.dummyfunction("""COMPUTED_VALUE"""),793587)</f>
        <v>793587</v>
      </c>
      <c r="T59" s="70" t="n">
        <f aca="false">IFERROR(__xludf.dummyfunction("""COMPUTED_VALUE"""),138596)</f>
        <v>138596</v>
      </c>
      <c r="U59" s="70" t="n">
        <f aca="false">IFERROR(__xludf.dummyfunction("""COMPUTED_VALUE"""),34028)</f>
        <v>34028</v>
      </c>
      <c r="V59" s="70" t="n">
        <f aca="false">IFERROR(__xludf.dummyfunction("""COMPUTED_VALUE"""),328069)</f>
        <v>328069</v>
      </c>
      <c r="W59" s="70" t="n">
        <f aca="false">IFERROR(__xludf.dummyfunction("""COMPUTED_VALUE"""),94950)</f>
        <v>94950</v>
      </c>
      <c r="X59" s="70" t="n">
        <f aca="false">IFERROR(__xludf.dummyfunction("""COMPUTED_VALUE"""),1776620)</f>
        <v>1776620</v>
      </c>
      <c r="Y59" s="70" t="n">
        <f aca="false">IFERROR(__xludf.dummyfunction("""COMPUTED_VALUE"""),1003660)</f>
        <v>1003660</v>
      </c>
      <c r="Z59" s="70" t="n">
        <f aca="false">IFERROR(__xludf.dummyfunction("""COMPUTED_VALUE"""),549315)</f>
        <v>549315</v>
      </c>
      <c r="AA59" s="70" t="n">
        <f aca="false">IFERROR(__xludf.dummyfunction("""COMPUTED_VALUE"""),6084)</f>
        <v>6084</v>
      </c>
      <c r="AB59" s="70" t="n">
        <f aca="false">IFERROR(__xludf.dummyfunction("""COMPUTED_VALUE"""),837235)</f>
        <v>837235</v>
      </c>
      <c r="AC59" s="70" t="n">
        <f aca="false">IFERROR(__xludf.dummyfunction("""COMPUTED_VALUE"""),305647)</f>
        <v>305647</v>
      </c>
      <c r="AD59" s="70" t="n">
        <f aca="false">IFERROR(__xludf.dummyfunction("""COMPUTED_VALUE"""),195096)</f>
        <v>195096</v>
      </c>
      <c r="AE59" s="70" t="n">
        <f aca="false">IFERROR(__xludf.dummyfunction("""COMPUTED_VALUE"""),8357)</f>
        <v>8357</v>
      </c>
      <c r="AF59" s="70" t="n">
        <f aca="false">IFERROR(__xludf.dummyfunction("""COMPUTED_VALUE"""),474645)</f>
        <v>474645</v>
      </c>
      <c r="AG59" s="70" t="n">
        <f aca="false">IFERROR(__xludf.dummyfunction("""COMPUTED_VALUE"""),611399)</f>
        <v>611399</v>
      </c>
      <c r="AH59" s="70" t="n">
        <f aca="false">IFERROR(__xludf.dummyfunction("""COMPUTED_VALUE"""),82609)</f>
        <v>82609</v>
      </c>
      <c r="AI59" s="70" t="n">
        <f aca="false">IFERROR(__xludf.dummyfunction("""COMPUTED_VALUE"""),3220243)</f>
        <v>3220243</v>
      </c>
      <c r="AJ59" s="70" t="n">
        <f aca="false">IFERROR(__xludf.dummyfunction("""COMPUTED_VALUE"""),1768806)</f>
        <v>1768806</v>
      </c>
      <c r="AK59" s="70" t="n">
        <f aca="false">IFERROR(__xludf.dummyfunction("""COMPUTED_VALUE"""),31238)</f>
        <v>31238</v>
      </c>
      <c r="AL59" s="70" t="n">
        <f aca="false">IFERROR(__xludf.dummyfunction("""COMPUTED_VALUE"""),2647767)</f>
        <v>2647767</v>
      </c>
      <c r="AM59" s="70" t="n">
        <f aca="false">IFERROR(__xludf.dummyfunction("""COMPUTED_VALUE"""),1184601)</f>
        <v>1184601</v>
      </c>
      <c r="AN59" s="70" t="n">
        <f aca="false">IFERROR(__xludf.dummyfunction("""COMPUTED_VALUE"""),197172)</f>
        <v>197172</v>
      </c>
      <c r="AO59" s="70" t="n">
        <f aca="false">IFERROR(__xludf.dummyfunction("""COMPUTED_VALUE"""),1564325)</f>
        <v>1564325</v>
      </c>
      <c r="AP59" s="70" t="n">
        <f aca="false">IFERROR(__xludf.dummyfunction("""COMPUTED_VALUE"""),285888)</f>
        <v>285888</v>
      </c>
      <c r="AQ59" s="70" t="n">
        <f aca="false">IFERROR(__xludf.dummyfunction("""COMPUTED_VALUE"""),516776)</f>
        <v>516776</v>
      </c>
      <c r="AR59" s="70" t="n">
        <f aca="false">IFERROR(__xludf.dummyfunction("""COMPUTED_VALUE"""),68613)</f>
        <v>68613</v>
      </c>
      <c r="AS59" s="70" t="n">
        <f aca="false">IFERROR(__xludf.dummyfunction("""COMPUTED_VALUE"""),612057)</f>
        <v>612057</v>
      </c>
      <c r="AT59" s="70" t="n">
        <f aca="false">IFERROR(__xludf.dummyfunction("""COMPUTED_VALUE"""),1391942)</f>
        <v>1391942</v>
      </c>
      <c r="AU59" s="70" t="n">
        <f aca="false">IFERROR(__xludf.dummyfunction("""COMPUTED_VALUE"""),521631)</f>
        <v>521631</v>
      </c>
      <c r="AV59" s="70" t="n">
        <f aca="false">IFERROR(__xludf.dummyfunction("""COMPUTED_VALUE"""),67361)</f>
        <v>67361</v>
      </c>
      <c r="AW59" s="70" t="n">
        <f aca="false">IFERROR(__xludf.dummyfunction("""COMPUTED_VALUE"""),757348)</f>
        <v>757348</v>
      </c>
      <c r="AX59" s="70" t="n">
        <f aca="false">IFERROR(__xludf.dummyfunction("""COMPUTED_VALUE"""),451391)</f>
        <v>451391</v>
      </c>
      <c r="AY59" s="70" t="n">
        <f aca="false">IFERROR(__xludf.dummyfunction("""COMPUTED_VALUE"""),772676)</f>
        <v>772676</v>
      </c>
      <c r="AZ59" s="70" t="n">
        <f aca="false">IFERROR(__xludf.dummyfunction("""COMPUTED_VALUE"""),512501)</f>
        <v>512501</v>
      </c>
      <c r="BA59" s="70" t="n">
        <f aca="false">IFERROR(__xludf.dummyfunction("""COMPUTED_VALUE"""),150178)</f>
        <v>150178</v>
      </c>
    </row>
    <row r="60" customFormat="false" ht="15.75" hidden="false" customHeight="false" outlineLevel="0" collapsed="false">
      <c r="A60" s="78" t="str">
        <f aca="false">IFERROR(__xludf.dummyfunction("""COMPUTED_VALUE"""),"basement_type")</f>
        <v>basement_type</v>
      </c>
      <c r="B60" s="72" t="n">
        <f aca="false">IFERROR(__xludf.dummyfunction("""COMPUTED_VALUE"""),40858583)</f>
        <v>40858583</v>
      </c>
      <c r="C60" s="73" t="n">
        <f aca="false">IFERROR(__xludf.dummyfunction("""COMPUTED_VALUE"""),168253)</f>
        <v>168253</v>
      </c>
      <c r="D60" s="70" t="n">
        <f aca="false">IFERROR(__xludf.dummyfunction("""COMPUTED_VALUE"""),108338)</f>
        <v>108338</v>
      </c>
      <c r="E60" s="70" t="n">
        <f aca="false">IFERROR(__xludf.dummyfunction("""COMPUTED_VALUE"""),6910)</f>
        <v>6910</v>
      </c>
      <c r="F60" s="70" t="n">
        <f aca="false">IFERROR(__xludf.dummyfunction("""COMPUTED_VALUE"""),84710)</f>
        <v>84710</v>
      </c>
      <c r="G60" s="70" t="n">
        <f aca="false">IFERROR(__xludf.dummyfunction("""COMPUTED_VALUE"""),185693)</f>
        <v>185693</v>
      </c>
      <c r="H60" s="70" t="n">
        <f aca="false">IFERROR(__xludf.dummyfunction("""COMPUTED_VALUE"""),1530350)</f>
        <v>1530350</v>
      </c>
      <c r="I60" s="70" t="n">
        <f aca="false">IFERROR(__xludf.dummyfunction("""COMPUTED_VALUE"""),862430)</f>
        <v>862430</v>
      </c>
      <c r="J60" s="70" t="n">
        <f aca="false">IFERROR(__xludf.dummyfunction("""COMPUTED_VALUE"""),347170)</f>
        <v>347170</v>
      </c>
      <c r="K60" s="70" t="n">
        <f aca="false">IFERROR(__xludf.dummyfunction("""COMPUTED_VALUE"""),93813)</f>
        <v>93813</v>
      </c>
      <c r="L60" s="70" t="n">
        <f aca="false">IFERROR(__xludf.dummyfunction("""COMPUTED_VALUE"""),136585)</f>
        <v>136585</v>
      </c>
      <c r="M60" s="70" t="n">
        <f aca="false">IFERROR(__xludf.dummyfunction("""COMPUTED_VALUE"""),1149961)</f>
        <v>1149961</v>
      </c>
      <c r="N60" s="70" t="n">
        <f aca="false">IFERROR(__xludf.dummyfunction("""COMPUTED_VALUE"""),351854)</f>
        <v>351854</v>
      </c>
      <c r="O60" s="70" t="n">
        <f aca="false">IFERROR(__xludf.dummyfunction("""COMPUTED_VALUE"""),171121)</f>
        <v>171121</v>
      </c>
      <c r="P60" s="70" t="n">
        <f aca="false">IFERROR(__xludf.dummyfunction("""COMPUTED_VALUE"""),2274377)</f>
        <v>2274377</v>
      </c>
      <c r="Q60" s="70" t="n">
        <f aca="false">IFERROR(__xludf.dummyfunction("""COMPUTED_VALUE"""),2298144)</f>
        <v>2298144</v>
      </c>
      <c r="R60" s="70" t="n">
        <f aca="false">IFERROR(__xludf.dummyfunction("""COMPUTED_VALUE"""),1196323)</f>
        <v>1196323</v>
      </c>
      <c r="S60" s="70" t="n">
        <f aca="false">IFERROR(__xludf.dummyfunction("""COMPUTED_VALUE"""),730946)</f>
        <v>730946</v>
      </c>
      <c r="T60" s="70" t="n">
        <f aca="false">IFERROR(__xludf.dummyfunction("""COMPUTED_VALUE"""),913155)</f>
        <v>913155</v>
      </c>
      <c r="U60" s="70" t="n">
        <f aca="false">IFERROR(__xludf.dummyfunction("""COMPUTED_VALUE"""),457)</f>
        <v>457</v>
      </c>
      <c r="V60" s="70" t="n">
        <f aca="false">IFERROR(__xludf.dummyfunction("""COMPUTED_VALUE"""),223515)</f>
        <v>223515</v>
      </c>
      <c r="W60" s="70" t="n">
        <f aca="false">IFERROR(__xludf.dummyfunction("""COMPUTED_VALUE"""),1782259)</f>
        <v>1782259</v>
      </c>
      <c r="X60" s="70" t="n">
        <f aca="false">IFERROR(__xludf.dummyfunction("""COMPUTED_VALUE"""),1324510)</f>
        <v>1324510</v>
      </c>
      <c r="Y60" s="70" t="n">
        <f aca="false">IFERROR(__xludf.dummyfunction("""COMPUTED_VALUE"""),2470393)</f>
        <v>2470393</v>
      </c>
      <c r="Z60" s="70" t="n">
        <f aca="false">IFERROR(__xludf.dummyfunction("""COMPUTED_VALUE"""),1213647)</f>
        <v>1213647</v>
      </c>
      <c r="AA60" s="70" t="n">
        <f aca="false">IFERROR(__xludf.dummyfunction("""COMPUTED_VALUE"""),144702)</f>
        <v>144702</v>
      </c>
      <c r="AB60" s="70" t="n">
        <f aca="false">IFERROR(__xludf.dummyfunction("""COMPUTED_VALUE"""),1275629)</f>
        <v>1275629</v>
      </c>
      <c r="AC60" s="70" t="n">
        <f aca="false">IFERROR(__xludf.dummyfunction("""COMPUTED_VALUE"""),216293)</f>
        <v>216293</v>
      </c>
      <c r="AD60" s="70" t="n">
        <f aca="false">IFERROR(__xludf.dummyfunction("""COMPUTED_VALUE"""),579163)</f>
        <v>579163</v>
      </c>
      <c r="AE60" s="70" t="n">
        <f aca="false">IFERROR(__xludf.dummyfunction("""COMPUTED_VALUE"""),28184)</f>
        <v>28184</v>
      </c>
      <c r="AF60" s="70" t="n">
        <f aca="false">IFERROR(__xludf.dummyfunction("""COMPUTED_VALUE"""),261011)</f>
        <v>261011</v>
      </c>
      <c r="AG60" s="70" t="n">
        <f aca="false">IFERROR(__xludf.dummyfunction("""COMPUTED_VALUE"""),132446)</f>
        <v>132446</v>
      </c>
      <c r="AH60" s="70" t="n">
        <f aca="false">IFERROR(__xludf.dummyfunction("""COMPUTED_VALUE"""),192181)</f>
        <v>192181</v>
      </c>
      <c r="AI60" s="70" t="n">
        <f aca="false">IFERROR(__xludf.dummyfunction("""COMPUTED_VALUE"""),3114106)</f>
        <v>3114106</v>
      </c>
      <c r="AJ60" s="70" t="n">
        <f aca="false">IFERROR(__xludf.dummyfunction("""COMPUTED_VALUE"""),1005668)</f>
        <v>1005668</v>
      </c>
      <c r="AK60" s="70" t="n">
        <f aca="false">IFERROR(__xludf.dummyfunction("""COMPUTED_VALUE"""),73993)</f>
        <v>73993</v>
      </c>
      <c r="AL60" s="70" t="n">
        <f aca="false">IFERROR(__xludf.dummyfunction("""COMPUTED_VALUE"""),3375993)</f>
        <v>3375993</v>
      </c>
      <c r="AM60" s="70" t="n">
        <f aca="false">IFERROR(__xludf.dummyfunction("""COMPUTED_VALUE"""),172818)</f>
        <v>172818</v>
      </c>
      <c r="AN60" s="70" t="n">
        <f aca="false">IFERROR(__xludf.dummyfunction("""COMPUTED_VALUE"""),475335)</f>
        <v>475335</v>
      </c>
      <c r="AO60" s="70" t="n">
        <f aca="false">IFERROR(__xludf.dummyfunction("""COMPUTED_VALUE"""),2952506)</f>
        <v>2952506</v>
      </c>
      <c r="AP60" s="70" t="n">
        <f aca="false">IFERROR(__xludf.dummyfunction("""COMPUTED_VALUE"""),245328)</f>
        <v>245328</v>
      </c>
      <c r="AQ60" s="70" t="n">
        <f aca="false">IFERROR(__xludf.dummyfunction("""COMPUTED_VALUE"""),192070)</f>
        <v>192070</v>
      </c>
      <c r="AR60" s="70" t="n">
        <f aca="false">IFERROR(__xludf.dummyfunction("""COMPUTED_VALUE"""),139119)</f>
        <v>139119</v>
      </c>
      <c r="AS60" s="70" t="n">
        <f aca="false">IFERROR(__xludf.dummyfunction("""COMPUTED_VALUE"""),1763061)</f>
        <v>1763061</v>
      </c>
      <c r="AT60" s="70" t="n">
        <f aca="false">IFERROR(__xludf.dummyfunction("""COMPUTED_VALUE"""),626111)</f>
        <v>626111</v>
      </c>
      <c r="AU60" s="70" t="n">
        <f aca="false">IFERROR(__xludf.dummyfunction("""COMPUTED_VALUE"""),497558)</f>
        <v>497558</v>
      </c>
      <c r="AV60" s="70" t="n">
        <f aca="false">IFERROR(__xludf.dummyfunction("""COMPUTED_VALUE"""),54126)</f>
        <v>54126</v>
      </c>
      <c r="AW60" s="70" t="n">
        <f aca="false">IFERROR(__xludf.dummyfunction("""COMPUTED_VALUE"""),1613574)</f>
        <v>1613574</v>
      </c>
      <c r="AX60" s="70" t="n">
        <f aca="false">IFERROR(__xludf.dummyfunction("""COMPUTED_VALUE"""),807960)</f>
        <v>807960</v>
      </c>
      <c r="AY60" s="70" t="n">
        <f aca="false">IFERROR(__xludf.dummyfunction("""COMPUTED_VALUE"""),484569)</f>
        <v>484569</v>
      </c>
      <c r="AZ60" s="70" t="n">
        <f aca="false">IFERROR(__xludf.dummyfunction("""COMPUTED_VALUE"""),692595)</f>
        <v>692595</v>
      </c>
      <c r="BA60" s="70" t="n">
        <f aca="false">IFERROR(__xludf.dummyfunction("""COMPUTED_VALUE"""),117570)</f>
        <v>117570</v>
      </c>
    </row>
    <row r="61" customFormat="false" ht="15.75" hidden="false" customHeight="false" outlineLevel="0" collapsed="false">
      <c r="A61" s="78" t="str">
        <f aca="false">IFERROR(__xludf.dummyfunction("""COMPUTED_VALUE"""),"condition")</f>
        <v>condition</v>
      </c>
      <c r="B61" s="72" t="n">
        <f aca="false">IFERROR(__xludf.dummyfunction("""COMPUTED_VALUE"""),52905129)</f>
        <v>52905129</v>
      </c>
      <c r="C61" s="73" t="n">
        <f aca="false">IFERROR(__xludf.dummyfunction("""COMPUTED_VALUE"""),566643)</f>
        <v>566643</v>
      </c>
      <c r="D61" s="70" t="n">
        <f aca="false">IFERROR(__xludf.dummyfunction("""COMPUTED_VALUE"""),125629)</f>
        <v>125629</v>
      </c>
      <c r="E61" s="70" t="n">
        <f aca="false">IFERROR(__xludf.dummyfunction("""COMPUTED_VALUE"""),535465)</f>
        <v>535465</v>
      </c>
      <c r="F61" s="70" t="n">
        <f aca="false">IFERROR(__xludf.dummyfunction("""COMPUTED_VALUE"""),443600)</f>
        <v>443600</v>
      </c>
      <c r="G61" s="70" t="n">
        <f aca="false">IFERROR(__xludf.dummyfunction("""COMPUTED_VALUE"""),1070648)</f>
        <v>1070648</v>
      </c>
      <c r="H61" s="70" t="n">
        <f aca="false">IFERROR(__xludf.dummyfunction("""COMPUTED_VALUE"""),1346487)</f>
        <v>1346487</v>
      </c>
      <c r="I61" s="70" t="n">
        <f aca="false">IFERROR(__xludf.dummyfunction("""COMPUTED_VALUE"""),1190974)</f>
        <v>1190974</v>
      </c>
      <c r="J61" s="70" t="n">
        <f aca="false">IFERROR(__xludf.dummyfunction("""COMPUTED_VALUE"""),227506)</f>
        <v>227506</v>
      </c>
      <c r="K61" s="70" t="n">
        <f aca="false">IFERROR(__xludf.dummyfunction("""COMPUTED_VALUE"""),170961)</f>
        <v>170961</v>
      </c>
      <c r="L61" s="70" t="n">
        <f aca="false">IFERROR(__xludf.dummyfunction("""COMPUTED_VALUE"""),2946294)</f>
        <v>2946294</v>
      </c>
      <c r="M61" s="70" t="n">
        <f aca="false">IFERROR(__xludf.dummyfunction("""COMPUTED_VALUE"""),3461686)</f>
        <v>3461686</v>
      </c>
      <c r="N61" s="70" t="n">
        <f aca="false">IFERROR(__xludf.dummyfunction("""COMPUTED_VALUE"""),616285)</f>
        <v>616285</v>
      </c>
      <c r="O61" s="70" t="n">
        <f aca="false">IFERROR(__xludf.dummyfunction("""COMPUTED_VALUE"""),427414)</f>
        <v>427414</v>
      </c>
      <c r="P61" s="70" t="n">
        <f aca="false">IFERROR(__xludf.dummyfunction("""COMPUTED_VALUE"""),1769027)</f>
        <v>1769027</v>
      </c>
      <c r="Q61" s="70" t="n">
        <f aca="false">IFERROR(__xludf.dummyfunction("""COMPUTED_VALUE"""),2319936)</f>
        <v>2319936</v>
      </c>
      <c r="R61" s="70" t="n">
        <f aca="false">IFERROR(__xludf.dummyfunction("""COMPUTED_VALUE"""),1071159)</f>
        <v>1071159</v>
      </c>
      <c r="S61" s="70" t="n">
        <f aca="false">IFERROR(__xludf.dummyfunction("""COMPUTED_VALUE"""),1023581)</f>
        <v>1023581</v>
      </c>
      <c r="T61" s="70" t="n">
        <f aca="false">IFERROR(__xludf.dummyfunction("""COMPUTED_VALUE"""),995714)</f>
        <v>995714</v>
      </c>
      <c r="U61" s="70" t="n">
        <f aca="false">IFERROR(__xludf.dummyfunction("""COMPUTED_VALUE"""),513474)</f>
        <v>513474</v>
      </c>
      <c r="V61" s="70" t="n">
        <f aca="false">IFERROR(__xludf.dummyfunction("""COMPUTED_VALUE"""),331944)</f>
        <v>331944</v>
      </c>
      <c r="W61" s="70" t="n">
        <f aca="false">IFERROR(__xludf.dummyfunction("""COMPUTED_VALUE"""),1557519)</f>
        <v>1557519</v>
      </c>
      <c r="X61" s="70" t="n">
        <f aca="false">IFERROR(__xludf.dummyfunction("""COMPUTED_VALUE"""),2130065)</f>
        <v>2130065</v>
      </c>
      <c r="Y61" s="70" t="n">
        <f aca="false">IFERROR(__xludf.dummyfunction("""COMPUTED_VALUE"""),208126)</f>
        <v>208126</v>
      </c>
      <c r="Z61" s="70" t="n">
        <f aca="false">IFERROR(__xludf.dummyfunction("""COMPUTED_VALUE"""),523785)</f>
        <v>523785</v>
      </c>
      <c r="AA61" s="70" t="n">
        <f aca="false">IFERROR(__xludf.dummyfunction("""COMPUTED_VALUE"""),236392)</f>
        <v>236392</v>
      </c>
      <c r="AB61" s="70" t="n">
        <f aca="false">IFERROR(__xludf.dummyfunction("""COMPUTED_VALUE"""),1036049)</f>
        <v>1036049</v>
      </c>
      <c r="AC61" s="70" t="n">
        <f aca="false">IFERROR(__xludf.dummyfunction("""COMPUTED_VALUE"""),231045)</f>
        <v>231045</v>
      </c>
      <c r="AD61" s="70" t="n">
        <f aca="false">IFERROR(__xludf.dummyfunction("""COMPUTED_VALUE"""),632153)</f>
        <v>632153</v>
      </c>
      <c r="AE61" s="70" t="n">
        <f aca="false">IFERROR(__xludf.dummyfunction("""COMPUTED_VALUE"""),706089)</f>
        <v>706089</v>
      </c>
      <c r="AF61" s="70" t="n">
        <f aca="false">IFERROR(__xludf.dummyfunction("""COMPUTED_VALUE"""),569639)</f>
        <v>569639</v>
      </c>
      <c r="AG61" s="70" t="n">
        <f aca="false">IFERROR(__xludf.dummyfunction("""COMPUTED_VALUE"""),201844)</f>
        <v>201844</v>
      </c>
      <c r="AH61" s="70" t="n">
        <f aca="false">IFERROR(__xludf.dummyfunction("""COMPUTED_VALUE"""),243010)</f>
        <v>243010</v>
      </c>
      <c r="AI61" s="70" t="n">
        <f aca="false">IFERROR(__xludf.dummyfunction("""COMPUTED_VALUE"""),3473945)</f>
        <v>3473945</v>
      </c>
      <c r="AJ61" s="70" t="n">
        <f aca="false">IFERROR(__xludf.dummyfunction("""COMPUTED_VALUE"""),1102316)</f>
        <v>1102316</v>
      </c>
      <c r="AK61" s="70" t="n">
        <f aca="false">IFERROR(__xludf.dummyfunction("""COMPUTED_VALUE"""),21322)</f>
        <v>21322</v>
      </c>
      <c r="AL61" s="70" t="n">
        <f aca="false">IFERROR(__xludf.dummyfunction("""COMPUTED_VALUE"""),3563594)</f>
        <v>3563594</v>
      </c>
      <c r="AM61" s="70" t="n">
        <f aca="false">IFERROR(__xludf.dummyfunction("""COMPUTED_VALUE"""),1623792)</f>
        <v>1623792</v>
      </c>
      <c r="AN61" s="70" t="n">
        <f aca="false">IFERROR(__xludf.dummyfunction("""COMPUTED_VALUE"""),268496)</f>
        <v>268496</v>
      </c>
      <c r="AO61" s="70" t="n">
        <f aca="false">IFERROR(__xludf.dummyfunction("""COMPUTED_VALUE"""),1678498)</f>
        <v>1678498</v>
      </c>
      <c r="AP61" s="70" t="n">
        <f aca="false">IFERROR(__xludf.dummyfunction("""COMPUTED_VALUE"""),359108)</f>
        <v>359108</v>
      </c>
      <c r="AQ61" s="70" t="n">
        <f aca="false">IFERROR(__xludf.dummyfunction("""COMPUTED_VALUE"""),812892)</f>
        <v>812892</v>
      </c>
      <c r="AR61" s="70" t="n">
        <f aca="false">IFERROR(__xludf.dummyfunction("""COMPUTED_VALUE"""),24806)</f>
        <v>24806</v>
      </c>
      <c r="AS61" s="70" t="n">
        <f aca="false">IFERROR(__xludf.dummyfunction("""COMPUTED_VALUE"""),2315186)</f>
        <v>2315186</v>
      </c>
      <c r="AT61" s="70" t="n">
        <f aca="false">IFERROR(__xludf.dummyfunction("""COMPUTED_VALUE"""),3179213)</f>
        <v>3179213</v>
      </c>
      <c r="AU61" s="70" t="n">
        <f aca="false">IFERROR(__xludf.dummyfunction("""COMPUTED_VALUE"""),616024)</f>
        <v>616024</v>
      </c>
      <c r="AV61" s="70" t="n">
        <f aca="false">IFERROR(__xludf.dummyfunction("""COMPUTED_VALUE"""),89863)</f>
        <v>89863</v>
      </c>
      <c r="AW61" s="70" t="n">
        <f aca="false">IFERROR(__xludf.dummyfunction("""COMPUTED_VALUE"""),1786784)</f>
        <v>1786784</v>
      </c>
      <c r="AX61" s="70" t="n">
        <f aca="false">IFERROR(__xludf.dummyfunction("""COMPUTED_VALUE"""),2093119)</f>
        <v>2093119</v>
      </c>
      <c r="AY61" s="70" t="n">
        <f aca="false">IFERROR(__xludf.dummyfunction("""COMPUTED_VALUE"""),14760)</f>
        <v>14760</v>
      </c>
      <c r="AZ61" s="70" t="n">
        <f aca="false">IFERROR(__xludf.dummyfunction("""COMPUTED_VALUE"""),202706)</f>
        <v>202706</v>
      </c>
      <c r="BA61" s="70" t="n">
        <f aca="false">IFERROR(__xludf.dummyfunction("""COMPUTED_VALUE"""),248562)</f>
        <v>248562</v>
      </c>
    </row>
    <row r="62" customFormat="false" ht="15.75" hidden="false" customHeight="false" outlineLevel="0" collapsed="false">
      <c r="A62" s="78" t="str">
        <f aca="false">IFERROR(__xludf.dummyfunction("""COMPUTED_VALUE"""),"construction_type")</f>
        <v>construction_type</v>
      </c>
      <c r="B62" s="72" t="n">
        <f aca="false">IFERROR(__xludf.dummyfunction("""COMPUTED_VALUE"""),39868726)</f>
        <v>39868726</v>
      </c>
      <c r="C62" s="73" t="n">
        <f aca="false">IFERROR(__xludf.dummyfunction("""COMPUTED_VALUE"""),443029)</f>
        <v>443029</v>
      </c>
      <c r="D62" s="70" t="n">
        <f aca="false">IFERROR(__xludf.dummyfunction("""COMPUTED_VALUE"""),6418)</f>
        <v>6418</v>
      </c>
      <c r="E62" s="70" t="n">
        <f aca="false">IFERROR(__xludf.dummyfunction("""COMPUTED_VALUE"""),1137726)</f>
        <v>1137726</v>
      </c>
      <c r="F62" s="70" t="n">
        <f aca="false">IFERROR(__xludf.dummyfunction("""COMPUTED_VALUE"""),1089623)</f>
        <v>1089623</v>
      </c>
      <c r="G62" s="70" t="n">
        <f aca="false">IFERROR(__xludf.dummyfunction("""COMPUTED_VALUE"""),2001589)</f>
        <v>2001589</v>
      </c>
      <c r="H62" s="70" t="n">
        <f aca="false">IFERROR(__xludf.dummyfunction("""COMPUTED_VALUE"""),1787436)</f>
        <v>1787436</v>
      </c>
      <c r="I62" s="70" t="n">
        <f aca="false">IFERROR(__xludf.dummyfunction("""COMPUTED_VALUE"""),409882)</f>
        <v>409882</v>
      </c>
      <c r="J62" s="70" t="n">
        <f aca="false">IFERROR(__xludf.dummyfunction("""COMPUTED_VALUE"""),53931)</f>
        <v>53931</v>
      </c>
      <c r="K62" s="70" t="n">
        <f aca="false">IFERROR(__xludf.dummyfunction("""COMPUTED_VALUE"""),7289)</f>
        <v>7289</v>
      </c>
      <c r="L62" s="70" t="n">
        <f aca="false">IFERROR(__xludf.dummyfunction("""COMPUTED_VALUE"""),3535954)</f>
        <v>3535954</v>
      </c>
      <c r="M62" s="70" t="n">
        <f aca="false">IFERROR(__xludf.dummyfunction("""COMPUTED_VALUE"""),1253160)</f>
        <v>1253160</v>
      </c>
      <c r="N62" s="70" t="n">
        <f aca="false">IFERROR(__xludf.dummyfunction("""COMPUTED_VALUE"""),319847)</f>
        <v>319847</v>
      </c>
      <c r="O62" s="70" t="n">
        <f aca="false">IFERROR(__xludf.dummyfunction("""COMPUTED_VALUE"""),159956)</f>
        <v>159956</v>
      </c>
      <c r="P62" s="70" t="n">
        <f aca="false">IFERROR(__xludf.dummyfunction("""COMPUTED_VALUE"""),2039670)</f>
        <v>2039670</v>
      </c>
      <c r="Q62" s="70" t="n">
        <f aca="false">IFERROR(__xludf.dummyfunction("""COMPUTED_VALUE"""),1971122)</f>
        <v>1971122</v>
      </c>
      <c r="R62" s="70" t="n">
        <f aca="false">IFERROR(__xludf.dummyfunction("""COMPUTED_VALUE"""),747565)</f>
        <v>747565</v>
      </c>
      <c r="S62" s="70" t="n">
        <f aca="false">IFERROR(__xludf.dummyfunction("""COMPUTED_VALUE"""),671031)</f>
        <v>671031</v>
      </c>
      <c r="T62" s="70" t="n">
        <f aca="false">IFERROR(__xludf.dummyfunction("""COMPUTED_VALUE"""),674158)</f>
        <v>674158</v>
      </c>
      <c r="U62" s="70" t="n">
        <f aca="false">IFERROR(__xludf.dummyfunction("""COMPUTED_VALUE"""),128029)</f>
        <v>128029</v>
      </c>
      <c r="V62" s="70" t="n">
        <f aca="false">IFERROR(__xludf.dummyfunction("""COMPUTED_VALUE"""),104328)</f>
        <v>104328</v>
      </c>
      <c r="W62" s="70" t="n">
        <f aca="false">IFERROR(__xludf.dummyfunction("""COMPUTED_VALUE"""),571194)</f>
        <v>571194</v>
      </c>
      <c r="X62" s="70" t="n">
        <f aca="false">IFERROR(__xludf.dummyfunction("""COMPUTED_VALUE"""),1188293)</f>
        <v>1188293</v>
      </c>
      <c r="Y62" s="70" t="n">
        <f aca="false">IFERROR(__xludf.dummyfunction("""COMPUTED_VALUE"""),536491)</f>
        <v>536491</v>
      </c>
      <c r="Z62" s="70" t="n">
        <f aca="false">IFERROR(__xludf.dummyfunction("""COMPUTED_VALUE"""),1031961)</f>
        <v>1031961</v>
      </c>
      <c r="AA62" s="70" t="n">
        <f aca="false">IFERROR(__xludf.dummyfunction("""COMPUTED_VALUE"""),232742)</f>
        <v>232742</v>
      </c>
      <c r="AB62" s="70" t="n">
        <f aca="false">IFERROR(__xludf.dummyfunction("""COMPUTED_VALUE"""),706574)</f>
        <v>706574</v>
      </c>
      <c r="AC62" s="70" t="n">
        <f aca="false">IFERROR(__xludf.dummyfunction("""COMPUTED_VALUE"""),435992)</f>
        <v>435992</v>
      </c>
      <c r="AD62" s="70" t="n">
        <f aca="false">IFERROR(__xludf.dummyfunction("""COMPUTED_VALUE"""),537144)</f>
        <v>537144</v>
      </c>
      <c r="AE62" s="70" t="n">
        <f aca="false">IFERROR(__xludf.dummyfunction("""COMPUTED_VALUE"""),876823)</f>
        <v>876823</v>
      </c>
      <c r="AF62" s="70" t="n">
        <f aca="false">IFERROR(__xludf.dummyfunction("""COMPUTED_VALUE"""),108452)</f>
        <v>108452</v>
      </c>
      <c r="AG62" s="70" t="n">
        <f aca="false">IFERROR(__xludf.dummyfunction("""COMPUTED_VALUE"""),1731915)</f>
        <v>1731915</v>
      </c>
      <c r="AH62" s="70" t="n">
        <f aca="false">IFERROR(__xludf.dummyfunction("""COMPUTED_VALUE"""),117117)</f>
        <v>117117</v>
      </c>
      <c r="AI62" s="70" t="n">
        <f aca="false">IFERROR(__xludf.dummyfunction("""COMPUTED_VALUE"""),525542)</f>
        <v>525542</v>
      </c>
      <c r="AJ62" s="70" t="n">
        <f aca="false">IFERROR(__xludf.dummyfunction("""COMPUTED_VALUE"""),980486)</f>
        <v>980486</v>
      </c>
      <c r="AK62" s="70" t="n">
        <f aca="false">IFERROR(__xludf.dummyfunction("""COMPUTED_VALUE"""),45891)</f>
        <v>45891</v>
      </c>
      <c r="AL62" s="70" t="n">
        <f aca="false">IFERROR(__xludf.dummyfunction("""COMPUTED_VALUE"""),1505283)</f>
        <v>1505283</v>
      </c>
      <c r="AM62" s="70" t="n">
        <f aca="false">IFERROR(__xludf.dummyfunction("""COMPUTED_VALUE"""),1206791)</f>
        <v>1206791</v>
      </c>
      <c r="AN62" s="70" t="n">
        <f aca="false">IFERROR(__xludf.dummyfunction("""COMPUTED_VALUE"""),155974)</f>
        <v>155974</v>
      </c>
      <c r="AO62" s="70" t="n">
        <f aca="false">IFERROR(__xludf.dummyfunction("""COMPUTED_VALUE"""),1866453)</f>
        <v>1866453</v>
      </c>
      <c r="AP62" s="70" t="n">
        <f aca="false">IFERROR(__xludf.dummyfunction("""COMPUTED_VALUE"""),114514)</f>
        <v>114514</v>
      </c>
      <c r="AQ62" s="70" t="n">
        <f aca="false">IFERROR(__xludf.dummyfunction("""COMPUTED_VALUE"""),606404)</f>
        <v>606404</v>
      </c>
      <c r="AR62" s="70" t="n">
        <f aca="false">IFERROR(__xludf.dummyfunction("""COMPUTED_VALUE"""),71895)</f>
        <v>71895</v>
      </c>
      <c r="AS62" s="70" t="n">
        <f aca="false">IFERROR(__xludf.dummyfunction("""COMPUTED_VALUE"""),492242)</f>
        <v>492242</v>
      </c>
      <c r="AT62" s="70" t="n">
        <f aca="false">IFERROR(__xludf.dummyfunction("""COMPUTED_VALUE"""),2935007)</f>
        <v>2935007</v>
      </c>
      <c r="AU62" s="70" t="n">
        <f aca="false">IFERROR(__xludf.dummyfunction("""COMPUTED_VALUE"""),79933)</f>
        <v>79933</v>
      </c>
      <c r="AV62" s="70" t="n">
        <f aca="false">IFERROR(__xludf.dummyfunction("""COMPUTED_VALUE"""),26552)</f>
        <v>26552</v>
      </c>
      <c r="AW62" s="70" t="n">
        <f aca="false">IFERROR(__xludf.dummyfunction("""COMPUTED_VALUE"""),1265745)</f>
        <v>1265745</v>
      </c>
      <c r="AX62" s="70" t="n">
        <f aca="false">IFERROR(__xludf.dummyfunction("""COMPUTED_VALUE"""),799839)</f>
        <v>799839</v>
      </c>
      <c r="AY62" s="70" t="n">
        <f aca="false">IFERROR(__xludf.dummyfunction("""COMPUTED_VALUE"""),310149)</f>
        <v>310149</v>
      </c>
      <c r="AZ62" s="70" t="n">
        <f aca="false">IFERROR(__xludf.dummyfunction("""COMPUTED_VALUE"""),68517)</f>
        <v>68517</v>
      </c>
      <c r="BA62" s="70" t="n">
        <f aca="false">IFERROR(__xludf.dummyfunction("""COMPUTED_VALUE"""),195068)</f>
        <v>195068</v>
      </c>
    </row>
    <row r="63" customFormat="false" ht="15.75" hidden="false" customHeight="false" outlineLevel="0" collapsed="false">
      <c r="A63" s="78" t="str">
        <f aca="false">IFERROR(__xludf.dummyfunction("""COMPUTED_VALUE"""),"exterior_wall_type")</f>
        <v>exterior_wall_type</v>
      </c>
      <c r="B63" s="72" t="n">
        <f aca="false">IFERROR(__xludf.dummyfunction("""COMPUTED_VALUE"""),69217680)</f>
        <v>69217680</v>
      </c>
      <c r="C63" s="73" t="n">
        <f aca="false">IFERROR(__xludf.dummyfunction("""COMPUTED_VALUE"""),1846228)</f>
        <v>1846228</v>
      </c>
      <c r="D63" s="70" t="n">
        <f aca="false">IFERROR(__xludf.dummyfunction("""COMPUTED_VALUE"""),112601)</f>
        <v>112601</v>
      </c>
      <c r="E63" s="70" t="n">
        <f aca="false">IFERROR(__xludf.dummyfunction("""COMPUTED_VALUE"""),2171085)</f>
        <v>2171085</v>
      </c>
      <c r="F63" s="70" t="n">
        <f aca="false">IFERROR(__xludf.dummyfunction("""COMPUTED_VALUE"""),809618)</f>
        <v>809618</v>
      </c>
      <c r="G63" s="70" t="n">
        <f aca="false">IFERROR(__xludf.dummyfunction("""COMPUTED_VALUE"""),54983)</f>
        <v>54983</v>
      </c>
      <c r="H63" s="70" t="n">
        <f aca="false">IFERROR(__xludf.dummyfunction("""COMPUTED_VALUE"""),1903283)</f>
        <v>1903283</v>
      </c>
      <c r="I63" s="70" t="n">
        <f aca="false">IFERROR(__xludf.dummyfunction("""COMPUTED_VALUE"""),1177564)</f>
        <v>1177564</v>
      </c>
      <c r="J63" s="70" t="n">
        <f aca="false">IFERROR(__xludf.dummyfunction("""COMPUTED_VALUE"""),386978)</f>
        <v>386978</v>
      </c>
      <c r="K63" s="70" t="n">
        <f aca="false">IFERROR(__xludf.dummyfunction("""COMPUTED_VALUE"""),115222)</f>
        <v>115222</v>
      </c>
      <c r="L63" s="70" t="n">
        <f aca="false">IFERROR(__xludf.dummyfunction("""COMPUTED_VALUE"""),5857934)</f>
        <v>5857934</v>
      </c>
      <c r="M63" s="70" t="n">
        <f aca="false">IFERROR(__xludf.dummyfunction("""COMPUTED_VALUE"""),3544109)</f>
        <v>3544109</v>
      </c>
      <c r="N63" s="70" t="n">
        <f aca="false">IFERROR(__xludf.dummyfunction("""COMPUTED_VALUE"""),583363)</f>
        <v>583363</v>
      </c>
      <c r="O63" s="70" t="n">
        <f aca="false">IFERROR(__xludf.dummyfunction("""COMPUTED_VALUE"""),328132)</f>
        <v>328132</v>
      </c>
      <c r="P63" s="70" t="n">
        <f aca="false">IFERROR(__xludf.dummyfunction("""COMPUTED_VALUE"""),1978265)</f>
        <v>1978265</v>
      </c>
      <c r="Q63" s="70" t="n">
        <f aca="false">IFERROR(__xludf.dummyfunction("""COMPUTED_VALUE"""),83415)</f>
        <v>83415</v>
      </c>
      <c r="R63" s="70" t="n">
        <f aca="false">IFERROR(__xludf.dummyfunction("""COMPUTED_VALUE"""),1142132)</f>
        <v>1142132</v>
      </c>
      <c r="S63" s="70" t="n">
        <f aca="false">IFERROR(__xludf.dummyfunction("""COMPUTED_VALUE"""),1026300)</f>
        <v>1026300</v>
      </c>
      <c r="T63" s="70" t="n">
        <f aca="false">IFERROR(__xludf.dummyfunction("""COMPUTED_VALUE"""),1296720)</f>
        <v>1296720</v>
      </c>
      <c r="U63" s="70" t="n">
        <f aca="false">IFERROR(__xludf.dummyfunction("""COMPUTED_VALUE"""),158427)</f>
        <v>158427</v>
      </c>
      <c r="V63" s="70" t="n">
        <f aca="false">IFERROR(__xludf.dummyfunction("""COMPUTED_VALUE"""),315791)</f>
        <v>315791</v>
      </c>
      <c r="W63" s="70" t="n">
        <f aca="false">IFERROR(__xludf.dummyfunction("""COMPUTED_VALUE"""),1501916)</f>
        <v>1501916</v>
      </c>
      <c r="X63" s="70" t="n">
        <f aca="false">IFERROR(__xludf.dummyfunction("""COMPUTED_VALUE"""),2076901)</f>
        <v>2076901</v>
      </c>
      <c r="Y63" s="70" t="n">
        <f aca="false">IFERROR(__xludf.dummyfunction("""COMPUTED_VALUE"""),1495469)</f>
        <v>1495469</v>
      </c>
      <c r="Z63" s="70" t="n">
        <f aca="false">IFERROR(__xludf.dummyfunction("""COMPUTED_VALUE"""),1389447)</f>
        <v>1389447</v>
      </c>
      <c r="AA63" s="70" t="n">
        <f aca="false">IFERROR(__xludf.dummyfunction("""COMPUTED_VALUE"""),937117)</f>
        <v>937117</v>
      </c>
      <c r="AB63" s="70" t="n">
        <f aca="false">IFERROR(__xludf.dummyfunction("""COMPUTED_VALUE"""),1377408)</f>
        <v>1377408</v>
      </c>
      <c r="AC63" s="70" t="n">
        <f aca="false">IFERROR(__xludf.dummyfunction("""COMPUTED_VALUE"""),429278)</f>
        <v>429278</v>
      </c>
      <c r="AD63" s="70" t="n">
        <f aca="false">IFERROR(__xludf.dummyfunction("""COMPUTED_VALUE"""),634568)</f>
        <v>634568</v>
      </c>
      <c r="AE63" s="70" t="n">
        <f aca="false">IFERROR(__xludf.dummyfunction("""COMPUTED_VALUE"""),888275)</f>
        <v>888275</v>
      </c>
      <c r="AF63" s="70" t="n">
        <f aca="false">IFERROR(__xludf.dummyfunction("""COMPUTED_VALUE"""),556901)</f>
        <v>556901</v>
      </c>
      <c r="AG63" s="70" t="n">
        <f aca="false">IFERROR(__xludf.dummyfunction("""COMPUTED_VALUE"""),610394)</f>
        <v>610394</v>
      </c>
      <c r="AH63" s="70" t="n">
        <f aca="false">IFERROR(__xludf.dummyfunction("""COMPUTED_VALUE"""),155595)</f>
        <v>155595</v>
      </c>
      <c r="AI63" s="70" t="n">
        <f aca="false">IFERROR(__xludf.dummyfunction("""COMPUTED_VALUE"""),3473581)</f>
        <v>3473581</v>
      </c>
      <c r="AJ63" s="70" t="n">
        <f aca="false">IFERROR(__xludf.dummyfunction("""COMPUTED_VALUE"""),3168712)</f>
        <v>3168712</v>
      </c>
      <c r="AK63" s="70" t="n">
        <f aca="false">IFERROR(__xludf.dummyfunction("""COMPUTED_VALUE"""),22623)</f>
        <v>22623</v>
      </c>
      <c r="AL63" s="70" t="n">
        <f aca="false">IFERROR(__xludf.dummyfunction("""COMPUTED_VALUE"""),3570934)</f>
        <v>3570934</v>
      </c>
      <c r="AM63" s="70" t="n">
        <f aca="false">IFERROR(__xludf.dummyfunction("""COMPUTED_VALUE"""),1775552)</f>
        <v>1775552</v>
      </c>
      <c r="AN63" s="70" t="n">
        <f aca="false">IFERROR(__xludf.dummyfunction("""COMPUTED_VALUE"""),934869)</f>
        <v>934869</v>
      </c>
      <c r="AO63" s="70" t="n">
        <f aca="false">IFERROR(__xludf.dummyfunction("""COMPUTED_VALUE"""),3249678)</f>
        <v>3249678</v>
      </c>
      <c r="AP63" s="70" t="n">
        <f aca="false">IFERROR(__xludf.dummyfunction("""COMPUTED_VALUE"""),346547)</f>
        <v>346547</v>
      </c>
      <c r="AQ63" s="70" t="n">
        <f aca="false">IFERROR(__xludf.dummyfunction("""COMPUTED_VALUE"""),1289654)</f>
        <v>1289654</v>
      </c>
      <c r="AR63" s="70" t="n">
        <f aca="false">IFERROR(__xludf.dummyfunction("""COMPUTED_VALUE"""),106180)</f>
        <v>106180</v>
      </c>
      <c r="AS63" s="70" t="n">
        <f aca="false">IFERROR(__xludf.dummyfunction("""COMPUTED_VALUE"""),2456096)</f>
        <v>2456096</v>
      </c>
      <c r="AT63" s="70" t="n">
        <f aca="false">IFERROR(__xludf.dummyfunction("""COMPUTED_VALUE"""),5260336)</f>
        <v>5260336</v>
      </c>
      <c r="AU63" s="70" t="n">
        <f aca="false">IFERROR(__xludf.dummyfunction("""COMPUTED_VALUE"""),769103)</f>
        <v>769103</v>
      </c>
      <c r="AV63" s="70" t="n">
        <f aca="false">IFERROR(__xludf.dummyfunction("""COMPUTED_VALUE"""),86727)</f>
        <v>86727</v>
      </c>
      <c r="AW63" s="70" t="n">
        <f aca="false">IFERROR(__xludf.dummyfunction("""COMPUTED_VALUE"""),2610353)</f>
        <v>2610353</v>
      </c>
      <c r="AX63" s="70" t="n">
        <f aca="false">IFERROR(__xludf.dummyfunction("""COMPUTED_VALUE"""),1566811)</f>
        <v>1566811</v>
      </c>
      <c r="AY63" s="70" t="n">
        <f aca="false">IFERROR(__xludf.dummyfunction("""COMPUTED_VALUE"""),694040)</f>
        <v>694040</v>
      </c>
      <c r="AZ63" s="70" t="n">
        <f aca="false">IFERROR(__xludf.dummyfunction("""COMPUTED_VALUE"""),642323)</f>
        <v>642323</v>
      </c>
      <c r="BA63" s="70" t="n">
        <f aca="false">IFERROR(__xludf.dummyfunction("""COMPUTED_VALUE"""),248142)</f>
        <v>248142</v>
      </c>
    </row>
    <row r="64" customFormat="false" ht="15.75" hidden="false" customHeight="false" outlineLevel="0" collapsed="false">
      <c r="A64" s="78" t="str">
        <f aca="false">IFERROR(__xludf.dummyfunction("""COMPUTED_VALUE"""),"fireplaces")</f>
        <v>fireplaces</v>
      </c>
      <c r="B64" s="72" t="n">
        <f aca="false">IFERROR(__xludf.dummyfunction("""COMPUTED_VALUE"""),36245842)</f>
        <v>36245842</v>
      </c>
      <c r="C64" s="73" t="n">
        <f aca="false">IFERROR(__xludf.dummyfunction("""COMPUTED_VALUE"""),912265)</f>
        <v>912265</v>
      </c>
      <c r="D64" s="70" t="n">
        <f aca="false">IFERROR(__xludf.dummyfunction("""COMPUTED_VALUE"""),75242)</f>
        <v>75242</v>
      </c>
      <c r="E64" s="70" t="n">
        <f aca="false">IFERROR(__xludf.dummyfunction("""COMPUTED_VALUE"""),22108)</f>
        <v>22108</v>
      </c>
      <c r="F64" s="70" t="n">
        <f aca="false">IFERROR(__xludf.dummyfunction("""COMPUTED_VALUE"""),394095)</f>
        <v>394095</v>
      </c>
      <c r="G64" s="70" t="n">
        <f aca="false">IFERROR(__xludf.dummyfunction("""COMPUTED_VALUE"""),3092672)</f>
        <v>3092672</v>
      </c>
      <c r="H64" s="70" t="n">
        <f aca="false">IFERROR(__xludf.dummyfunction("""COMPUTED_VALUE"""),1072208)</f>
        <v>1072208</v>
      </c>
      <c r="I64" s="70" t="n">
        <f aca="false">IFERROR(__xludf.dummyfunction("""COMPUTED_VALUE"""),619047)</f>
        <v>619047</v>
      </c>
      <c r="J64" s="70" t="n">
        <f aca="false">IFERROR(__xludf.dummyfunction("""COMPUTED_VALUE"""),169123)</f>
        <v>169123</v>
      </c>
      <c r="K64" s="70" t="n">
        <f aca="false">IFERROR(__xludf.dummyfunction("""COMPUTED_VALUE"""),57504)</f>
        <v>57504</v>
      </c>
      <c r="L64" s="70" t="n">
        <f aca="false">IFERROR(__xludf.dummyfunction("""COMPUTED_VALUE"""),1004107)</f>
        <v>1004107</v>
      </c>
      <c r="M64" s="70" t="n">
        <f aca="false">IFERROR(__xludf.dummyfunction("""COMPUTED_VALUE"""),2507198)</f>
        <v>2507198</v>
      </c>
      <c r="N64" s="70" t="n">
        <f aca="false">IFERROR(__xludf.dummyfunction("""COMPUTED_VALUE"""),9670)</f>
        <v>9670</v>
      </c>
      <c r="O64" s="70" t="n">
        <f aca="false">IFERROR(__xludf.dummyfunction("""COMPUTED_VALUE"""),262930)</f>
        <v>262930</v>
      </c>
      <c r="P64" s="70" t="n">
        <f aca="false">IFERROR(__xludf.dummyfunction("""COMPUTED_VALUE"""),872304)</f>
        <v>872304</v>
      </c>
      <c r="Q64" s="70" t="n">
        <f aca="false">IFERROR(__xludf.dummyfunction("""COMPUTED_VALUE"""),900158)</f>
        <v>900158</v>
      </c>
      <c r="R64" s="70" t="n">
        <f aca="false">IFERROR(__xludf.dummyfunction("""COMPUTED_VALUE"""),423320)</f>
        <v>423320</v>
      </c>
      <c r="S64" s="70" t="n">
        <f aca="false">IFERROR(__xludf.dummyfunction("""COMPUTED_VALUE"""),456989)</f>
        <v>456989</v>
      </c>
      <c r="T64" s="70" t="n">
        <f aca="false">IFERROR(__xludf.dummyfunction("""COMPUTED_VALUE"""),430925)</f>
        <v>430925</v>
      </c>
      <c r="U64" s="70" t="n">
        <f aca="false">IFERROR(__xludf.dummyfunction("""COMPUTED_VALUE"""),77140)</f>
        <v>77140</v>
      </c>
      <c r="V64" s="70" t="n">
        <f aca="false">IFERROR(__xludf.dummyfunction("""COMPUTED_VALUE"""),73395)</f>
        <v>73395</v>
      </c>
      <c r="W64" s="70" t="n">
        <f aca="false">IFERROR(__xludf.dummyfunction("""COMPUTED_VALUE"""),940263)</f>
        <v>940263</v>
      </c>
      <c r="X64" s="70" t="n">
        <f aca="false">IFERROR(__xludf.dummyfunction("""COMPUTED_VALUE"""),912358)</f>
        <v>912358</v>
      </c>
      <c r="Y64" s="70" t="n">
        <f aca="false">IFERROR(__xludf.dummyfunction("""COMPUTED_VALUE"""),1319282)</f>
        <v>1319282</v>
      </c>
      <c r="Z64" s="70" t="n">
        <f aca="false">IFERROR(__xludf.dummyfunction("""COMPUTED_VALUE"""),607073)</f>
        <v>607073</v>
      </c>
      <c r="AA64" s="70" t="n">
        <f aca="false">IFERROR(__xludf.dummyfunction("""COMPUTED_VALUE"""),330799)</f>
        <v>330799</v>
      </c>
      <c r="AB64" s="70" t="n">
        <f aca="false">IFERROR(__xludf.dummyfunction("""COMPUTED_VALUE"""),769308)</f>
        <v>769308</v>
      </c>
      <c r="AC64" s="70" t="n">
        <f aca="false">IFERROR(__xludf.dummyfunction("""COMPUTED_VALUE"""),91102)</f>
        <v>91102</v>
      </c>
      <c r="AD64" s="70" t="n">
        <f aca="false">IFERROR(__xludf.dummyfunction("""COMPUTED_VALUE"""),253023)</f>
        <v>253023</v>
      </c>
      <c r="AE64" s="70" t="n">
        <f aca="false">IFERROR(__xludf.dummyfunction("""COMPUTED_VALUE"""),404516)</f>
        <v>404516</v>
      </c>
      <c r="AF64" s="70" t="n">
        <f aca="false">IFERROR(__xludf.dummyfunction("""COMPUTED_VALUE"""),115873)</f>
        <v>115873</v>
      </c>
      <c r="AG64" s="70" t="n">
        <f aca="false">IFERROR(__xludf.dummyfunction("""COMPUTED_VALUE"""),6581)</f>
        <v>6581</v>
      </c>
      <c r="AH64" s="70" t="n">
        <f aca="false">IFERROR(__xludf.dummyfunction("""COMPUTED_VALUE"""),50963)</f>
        <v>50963</v>
      </c>
      <c r="AI64" s="70" t="n">
        <f aca="false">IFERROR(__xludf.dummyfunction("""COMPUTED_VALUE"""),1343619)</f>
        <v>1343619</v>
      </c>
      <c r="AJ64" s="70" t="n">
        <f aca="false">IFERROR(__xludf.dummyfunction("""COMPUTED_VALUE"""),2133500)</f>
        <v>2133500</v>
      </c>
      <c r="AK64" s="70" t="n">
        <f aca="false">IFERROR(__xludf.dummyfunction("""COMPUTED_VALUE"""),19166)</f>
        <v>19166</v>
      </c>
      <c r="AL64" s="70" t="n">
        <f aca="false">IFERROR(__xludf.dummyfunction("""COMPUTED_VALUE"""),1585908)</f>
        <v>1585908</v>
      </c>
      <c r="AM64" s="70" t="n">
        <f aca="false">IFERROR(__xludf.dummyfunction("""COMPUTED_VALUE"""),831992)</f>
        <v>831992</v>
      </c>
      <c r="AN64" s="70" t="n">
        <f aca="false">IFERROR(__xludf.dummyfunction("""COMPUTED_VALUE"""),769857)</f>
        <v>769857</v>
      </c>
      <c r="AO64" s="70" t="n">
        <f aca="false">IFERROR(__xludf.dummyfunction("""COMPUTED_VALUE"""),1184033)</f>
        <v>1184033</v>
      </c>
      <c r="AP64" s="70" t="n">
        <f aca="false">IFERROR(__xludf.dummyfunction("""COMPUTED_VALUE"""),119917)</f>
        <v>119917</v>
      </c>
      <c r="AQ64" s="70" t="n">
        <f aca="false">IFERROR(__xludf.dummyfunction("""COMPUTED_VALUE"""),627791)</f>
        <v>627791</v>
      </c>
      <c r="AR64" s="70" t="n">
        <f aca="false">IFERROR(__xludf.dummyfunction("""COMPUTED_VALUE"""),33657)</f>
        <v>33657</v>
      </c>
      <c r="AS64" s="70" t="n">
        <f aca="false">IFERROR(__xludf.dummyfunction("""COMPUTED_VALUE"""),1102219)</f>
        <v>1102219</v>
      </c>
      <c r="AT64" s="70" t="n">
        <f aca="false">IFERROR(__xludf.dummyfunction("""COMPUTED_VALUE"""),3148051)</f>
        <v>3148051</v>
      </c>
      <c r="AU64" s="70" t="n">
        <f aca="false">IFERROR(__xludf.dummyfunction("""COMPUTED_VALUE"""),375709)</f>
        <v>375709</v>
      </c>
      <c r="AV64" s="70" t="n">
        <f aca="false">IFERROR(__xludf.dummyfunction("""COMPUTED_VALUE"""),31999)</f>
        <v>31999</v>
      </c>
      <c r="AW64" s="70" t="n">
        <f aca="false">IFERROR(__xludf.dummyfunction("""COMPUTED_VALUE"""),1470437)</f>
        <v>1470437</v>
      </c>
      <c r="AX64" s="70" t="n">
        <f aca="false">IFERROR(__xludf.dummyfunction("""COMPUTED_VALUE"""),1592124)</f>
        <v>1592124</v>
      </c>
      <c r="AY64" s="70" t="n">
        <f aca="false">IFERROR(__xludf.dummyfunction("""COMPUTED_VALUE"""),264651)</f>
        <v>264651</v>
      </c>
      <c r="AZ64" s="70" t="n">
        <f aca="false">IFERROR(__xludf.dummyfunction("""COMPUTED_VALUE"""),317822)</f>
        <v>317822</v>
      </c>
      <c r="BA64" s="70" t="n">
        <f aca="false">IFERROR(__xludf.dummyfunction("""COMPUTED_VALUE"""),59849)</f>
        <v>59849</v>
      </c>
    </row>
    <row r="65" customFormat="false" ht="15.75" hidden="false" customHeight="false" outlineLevel="0" collapsed="false">
      <c r="A65" s="78" t="str">
        <f aca="false">IFERROR(__xludf.dummyfunction("""COMPUTED_VALUE"""),"flooring_types")</f>
        <v>flooring_types</v>
      </c>
      <c r="B65" s="72" t="n">
        <f aca="false">IFERROR(__xludf.dummyfunction("""COMPUTED_VALUE"""),22606292)</f>
        <v>22606292</v>
      </c>
      <c r="C65" s="73" t="n">
        <f aca="false">IFERROR(__xludf.dummyfunction("""COMPUTED_VALUE"""),1630364)</f>
        <v>1630364</v>
      </c>
      <c r="D65" s="70" t="n">
        <f aca="false">IFERROR(__xludf.dummyfunction("""COMPUTED_VALUE"""),0)</f>
        <v>0</v>
      </c>
      <c r="E65" s="70" t="n">
        <f aca="false">IFERROR(__xludf.dummyfunction("""COMPUTED_VALUE"""),19115)</f>
        <v>19115</v>
      </c>
      <c r="F65" s="70" t="n">
        <f aca="false">IFERROR(__xludf.dummyfunction("""COMPUTED_VALUE"""),959757)</f>
        <v>959757</v>
      </c>
      <c r="G65" s="70" t="n">
        <f aca="false">IFERROR(__xludf.dummyfunction("""COMPUTED_VALUE"""),506)</f>
        <v>506</v>
      </c>
      <c r="H65" s="70" t="n">
        <f aca="false">IFERROR(__xludf.dummyfunction("""COMPUTED_VALUE"""),316114)</f>
        <v>316114</v>
      </c>
      <c r="I65" s="70" t="n">
        <f aca="false">IFERROR(__xludf.dummyfunction("""COMPUTED_VALUE"""),0)</f>
        <v>0</v>
      </c>
      <c r="J65" s="70" t="n">
        <f aca="false">IFERROR(__xludf.dummyfunction("""COMPUTED_VALUE"""),186783)</f>
        <v>186783</v>
      </c>
      <c r="K65" s="70" t="n">
        <f aca="false">IFERROR(__xludf.dummyfunction("""COMPUTED_VALUE"""),107370)</f>
        <v>107370</v>
      </c>
      <c r="L65" s="70" t="n">
        <f aca="false">IFERROR(__xludf.dummyfunction("""COMPUTED_VALUE"""),4875421)</f>
        <v>4875421</v>
      </c>
      <c r="M65" s="70" t="n">
        <f aca="false">IFERROR(__xludf.dummyfunction("""COMPUTED_VALUE"""),1847818)</f>
        <v>1847818</v>
      </c>
      <c r="N65" s="70" t="n">
        <f aca="false">IFERROR(__xludf.dummyfunction("""COMPUTED_VALUE"""),478184)</f>
        <v>478184</v>
      </c>
      <c r="O65" s="70" t="n">
        <f aca="false">IFERROR(__xludf.dummyfunction("""COMPUTED_VALUE"""),4925)</f>
        <v>4925</v>
      </c>
      <c r="P65" s="70" t="n">
        <f aca="false">IFERROR(__xludf.dummyfunction("""COMPUTED_VALUE"""),150364)</f>
        <v>150364</v>
      </c>
      <c r="Q65" s="70" t="n">
        <f aca="false">IFERROR(__xludf.dummyfunction("""COMPUTED_VALUE"""),42)</f>
        <v>42</v>
      </c>
      <c r="R65" s="70" t="n">
        <f aca="false">IFERROR(__xludf.dummyfunction("""COMPUTED_VALUE"""),880367)</f>
        <v>880367</v>
      </c>
      <c r="S65" s="70" t="n">
        <f aca="false">IFERROR(__xludf.dummyfunction("""COMPUTED_VALUE"""),332287)</f>
        <v>332287</v>
      </c>
      <c r="T65" s="70" t="n">
        <f aca="false">IFERROR(__xludf.dummyfunction("""COMPUTED_VALUE"""),245788)</f>
        <v>245788</v>
      </c>
      <c r="U65" s="70" t="n">
        <f aca="false">IFERROR(__xludf.dummyfunction("""COMPUTED_VALUE"""),109768)</f>
        <v>109768</v>
      </c>
      <c r="V65" s="70" t="n">
        <f aca="false">IFERROR(__xludf.dummyfunction("""COMPUTED_VALUE"""),0)</f>
        <v>0</v>
      </c>
      <c r="W65" s="70" t="n">
        <f aca="false">IFERROR(__xludf.dummyfunction("""COMPUTED_VALUE"""),0)</f>
        <v>0</v>
      </c>
      <c r="X65" s="70" t="n">
        <f aca="false">IFERROR(__xludf.dummyfunction("""COMPUTED_VALUE"""),0)</f>
        <v>0</v>
      </c>
      <c r="Y65" s="70" t="n">
        <f aca="false">IFERROR(__xludf.dummyfunction("""COMPUTED_VALUE"""),90026)</f>
        <v>90026</v>
      </c>
      <c r="Z65" s="70" t="n">
        <f aca="false">IFERROR(__xludf.dummyfunction("""COMPUTED_VALUE"""),798016)</f>
        <v>798016</v>
      </c>
      <c r="AA65" s="70" t="n">
        <f aca="false">IFERROR(__xludf.dummyfunction("""COMPUTED_VALUE"""),794371)</f>
        <v>794371</v>
      </c>
      <c r="AB65" s="70" t="n">
        <f aca="false">IFERROR(__xludf.dummyfunction("""COMPUTED_VALUE"""),640535)</f>
        <v>640535</v>
      </c>
      <c r="AC65" s="70" t="n">
        <f aca="false">IFERROR(__xludf.dummyfunction("""COMPUTED_VALUE"""),0)</f>
        <v>0</v>
      </c>
      <c r="AD65" s="70" t="n">
        <f aca="false">IFERROR(__xludf.dummyfunction("""COMPUTED_VALUE"""),15201)</f>
        <v>15201</v>
      </c>
      <c r="AE65" s="70" t="n">
        <f aca="false">IFERROR(__xludf.dummyfunction("""COMPUTED_VALUE"""),632463)</f>
        <v>632463</v>
      </c>
      <c r="AF65" s="70" t="n">
        <f aca="false">IFERROR(__xludf.dummyfunction("""COMPUTED_VALUE"""),0)</f>
        <v>0</v>
      </c>
      <c r="AG65" s="70" t="n">
        <f aca="false">IFERROR(__xludf.dummyfunction("""COMPUTED_VALUE"""),0)</f>
        <v>0</v>
      </c>
      <c r="AH65" s="70" t="n">
        <f aca="false">IFERROR(__xludf.dummyfunction("""COMPUTED_VALUE"""),153059)</f>
        <v>153059</v>
      </c>
      <c r="AI65" s="70" t="n">
        <f aca="false">IFERROR(__xludf.dummyfunction("""COMPUTED_VALUE"""),0)</f>
        <v>0</v>
      </c>
      <c r="AJ65" s="70" t="n">
        <f aca="false">IFERROR(__xludf.dummyfunction("""COMPUTED_VALUE"""),1072783)</f>
        <v>1072783</v>
      </c>
      <c r="AK65" s="70" t="n">
        <f aca="false">IFERROR(__xludf.dummyfunction("""COMPUTED_VALUE"""),19887)</f>
        <v>19887</v>
      </c>
      <c r="AL65" s="70" t="n">
        <f aca="false">IFERROR(__xludf.dummyfunction("""COMPUTED_VALUE"""),280921)</f>
        <v>280921</v>
      </c>
      <c r="AM65" s="70" t="n">
        <f aca="false">IFERROR(__xludf.dummyfunction("""COMPUTED_VALUE"""),2112)</f>
        <v>2112</v>
      </c>
      <c r="AN65" s="70" t="n">
        <f aca="false">IFERROR(__xludf.dummyfunction("""COMPUTED_VALUE"""),369988)</f>
        <v>369988</v>
      </c>
      <c r="AO65" s="70" t="n">
        <f aca="false">IFERROR(__xludf.dummyfunction("""COMPUTED_VALUE"""),216966)</f>
        <v>216966</v>
      </c>
      <c r="AP65" s="70" t="n">
        <f aca="false">IFERROR(__xludf.dummyfunction("""COMPUTED_VALUE"""),0)</f>
        <v>0</v>
      </c>
      <c r="AQ65" s="70" t="n">
        <f aca="false">IFERROR(__xludf.dummyfunction("""COMPUTED_VALUE"""),351752)</f>
        <v>351752</v>
      </c>
      <c r="AR65" s="70" t="n">
        <f aca="false">IFERROR(__xludf.dummyfunction("""COMPUTED_VALUE"""),75106)</f>
        <v>75106</v>
      </c>
      <c r="AS65" s="70" t="n">
        <f aca="false">IFERROR(__xludf.dummyfunction("""COMPUTED_VALUE"""),1319012)</f>
        <v>1319012</v>
      </c>
      <c r="AT65" s="70" t="n">
        <f aca="false">IFERROR(__xludf.dummyfunction("""COMPUTED_VALUE"""),1402008)</f>
        <v>1402008</v>
      </c>
      <c r="AU65" s="70" t="n">
        <f aca="false">IFERROR(__xludf.dummyfunction("""COMPUTED_VALUE"""),1287)</f>
        <v>1287</v>
      </c>
      <c r="AV65" s="70" t="n">
        <f aca="false">IFERROR(__xludf.dummyfunction("""COMPUTED_VALUE"""),0)</f>
        <v>0</v>
      </c>
      <c r="AW65" s="70" t="n">
        <f aca="false">IFERROR(__xludf.dummyfunction("""COMPUTED_VALUE"""),1573888)</f>
        <v>1573888</v>
      </c>
      <c r="AX65" s="70" t="n">
        <f aca="false">IFERROR(__xludf.dummyfunction("""COMPUTED_VALUE"""),581923)</f>
        <v>581923</v>
      </c>
      <c r="AY65" s="70" t="n">
        <f aca="false">IFERROR(__xludf.dummyfunction("""COMPUTED_VALUE"""),0)</f>
        <v>0</v>
      </c>
      <c r="AZ65" s="70" t="n">
        <f aca="false">IFERROR(__xludf.dummyfunction("""COMPUTED_VALUE"""),67720)</f>
        <v>67720</v>
      </c>
      <c r="BA65" s="70" t="n">
        <f aca="false">IFERROR(__xludf.dummyfunction("""COMPUTED_VALUE"""),2295)</f>
        <v>2295</v>
      </c>
    </row>
    <row r="66" customFormat="false" ht="15.75" hidden="false" customHeight="false" outlineLevel="0" collapsed="false">
      <c r="A66" s="78" t="str">
        <f aca="false">IFERROR(__xludf.dummyfunction("""COMPUTED_VALUE"""),"foundation_type")</f>
        <v>foundation_type</v>
      </c>
      <c r="B66" s="72" t="n">
        <f aca="false">IFERROR(__xludf.dummyfunction("""COMPUTED_VALUE"""),39335596)</f>
        <v>39335596</v>
      </c>
      <c r="C66" s="73" t="n">
        <f aca="false">IFERROR(__xludf.dummyfunction("""COMPUTED_VALUE"""),1688031)</f>
        <v>1688031</v>
      </c>
      <c r="D66" s="70" t="n">
        <f aca="false">IFERROR(__xludf.dummyfunction("""COMPUTED_VALUE"""),1762)</f>
        <v>1762</v>
      </c>
      <c r="E66" s="70" t="n">
        <f aca="false">IFERROR(__xludf.dummyfunction("""COMPUTED_VALUE"""),107304)</f>
        <v>107304</v>
      </c>
      <c r="F66" s="70" t="n">
        <f aca="false">IFERROR(__xludf.dummyfunction("""COMPUTED_VALUE"""),1065183)</f>
        <v>1065183</v>
      </c>
      <c r="G66" s="70" t="n">
        <f aca="false">IFERROR(__xludf.dummyfunction("""COMPUTED_VALUE"""),336878)</f>
        <v>336878</v>
      </c>
      <c r="H66" s="70" t="n">
        <f aca="false">IFERROR(__xludf.dummyfunction("""COMPUTED_VALUE"""),626205)</f>
        <v>626205</v>
      </c>
      <c r="I66" s="70" t="n">
        <f aca="false">IFERROR(__xludf.dummyfunction("""COMPUTED_VALUE"""),39541)</f>
        <v>39541</v>
      </c>
      <c r="J66" s="70" t="n">
        <f aca="false">IFERROR(__xludf.dummyfunction("""COMPUTED_VALUE"""),326318)</f>
        <v>326318</v>
      </c>
      <c r="K66" s="70" t="n">
        <f aca="false">IFERROR(__xludf.dummyfunction("""COMPUTED_VALUE"""),0)</f>
        <v>0</v>
      </c>
      <c r="L66" s="70" t="n">
        <f aca="false">IFERROR(__xludf.dummyfunction("""COMPUTED_VALUE"""),2627885)</f>
        <v>2627885</v>
      </c>
      <c r="M66" s="70" t="n">
        <f aca="false">IFERROR(__xludf.dummyfunction("""COMPUTED_VALUE"""),2723293)</f>
        <v>2723293</v>
      </c>
      <c r="N66" s="70" t="n">
        <f aca="false">IFERROR(__xludf.dummyfunction("""COMPUTED_VALUE"""),623928)</f>
        <v>623928</v>
      </c>
      <c r="O66" s="70" t="n">
        <f aca="false">IFERROR(__xludf.dummyfunction("""COMPUTED_VALUE"""),171701)</f>
        <v>171701</v>
      </c>
      <c r="P66" s="70" t="n">
        <f aca="false">IFERROR(__xludf.dummyfunction("""COMPUTED_VALUE"""),529694)</f>
        <v>529694</v>
      </c>
      <c r="Q66" s="70" t="n">
        <f aca="false">IFERROR(__xludf.dummyfunction("""COMPUTED_VALUE"""),1195319)</f>
        <v>1195319</v>
      </c>
      <c r="R66" s="70" t="n">
        <f aca="false">IFERROR(__xludf.dummyfunction("""COMPUTED_VALUE"""),1160007)</f>
        <v>1160007</v>
      </c>
      <c r="S66" s="70" t="n">
        <f aca="false">IFERROR(__xludf.dummyfunction("""COMPUTED_VALUE"""),1014743)</f>
        <v>1014743</v>
      </c>
      <c r="T66" s="70" t="n">
        <f aca="false">IFERROR(__xludf.dummyfunction("""COMPUTED_VALUE"""),1009877)</f>
        <v>1009877</v>
      </c>
      <c r="U66" s="70" t="n">
        <f aca="false">IFERROR(__xludf.dummyfunction("""COMPUTED_VALUE"""),151443)</f>
        <v>151443</v>
      </c>
      <c r="V66" s="70" t="n">
        <f aca="false">IFERROR(__xludf.dummyfunction("""COMPUTED_VALUE"""),12948)</f>
        <v>12948</v>
      </c>
      <c r="W66" s="70" t="n">
        <f aca="false">IFERROR(__xludf.dummyfunction("""COMPUTED_VALUE"""),84)</f>
        <v>84</v>
      </c>
      <c r="X66" s="70" t="n">
        <f aca="false">IFERROR(__xludf.dummyfunction("""COMPUTED_VALUE"""),46629)</f>
        <v>46629</v>
      </c>
      <c r="Y66" s="70" t="n">
        <f aca="false">IFERROR(__xludf.dummyfunction("""COMPUTED_VALUE"""),506423)</f>
        <v>506423</v>
      </c>
      <c r="Z66" s="70" t="n">
        <f aca="false">IFERROR(__xludf.dummyfunction("""COMPUTED_VALUE"""),874956)</f>
        <v>874956</v>
      </c>
      <c r="AA66" s="70" t="n">
        <f aca="false">IFERROR(__xludf.dummyfunction("""COMPUTED_VALUE"""),865645)</f>
        <v>865645</v>
      </c>
      <c r="AB66" s="70" t="n">
        <f aca="false">IFERROR(__xludf.dummyfunction("""COMPUTED_VALUE"""),936372)</f>
        <v>936372</v>
      </c>
      <c r="AC66" s="70" t="n">
        <f aca="false">IFERROR(__xludf.dummyfunction("""COMPUTED_VALUE"""),399035)</f>
        <v>399035</v>
      </c>
      <c r="AD66" s="70" t="n">
        <f aca="false">IFERROR(__xludf.dummyfunction("""COMPUTED_VALUE"""),479783)</f>
        <v>479783</v>
      </c>
      <c r="AE66" s="70" t="n">
        <f aca="false">IFERROR(__xludf.dummyfunction("""COMPUTED_VALUE"""),175852)</f>
        <v>175852</v>
      </c>
      <c r="AF66" s="70" t="n">
        <f aca="false">IFERROR(__xludf.dummyfunction("""COMPUTED_VALUE"""),11232)</f>
        <v>11232</v>
      </c>
      <c r="AG66" s="70" t="n">
        <f aca="false">IFERROR(__xludf.dummyfunction("""COMPUTED_VALUE"""),215839)</f>
        <v>215839</v>
      </c>
      <c r="AH66" s="70" t="n">
        <f aca="false">IFERROR(__xludf.dummyfunction("""COMPUTED_VALUE"""),4247)</f>
        <v>4247</v>
      </c>
      <c r="AI66" s="70" t="n">
        <f aca="false">IFERROR(__xludf.dummyfunction("""COMPUTED_VALUE"""),747979)</f>
        <v>747979</v>
      </c>
      <c r="AJ66" s="70" t="n">
        <f aca="false">IFERROR(__xludf.dummyfunction("""COMPUTED_VALUE"""),2922149)</f>
        <v>2922149</v>
      </c>
      <c r="AK66" s="70" t="n">
        <f aca="false">IFERROR(__xludf.dummyfunction("""COMPUTED_VALUE"""),31002)</f>
        <v>31002</v>
      </c>
      <c r="AL66" s="70" t="n">
        <f aca="false">IFERROR(__xludf.dummyfunction("""COMPUTED_VALUE"""),830468)</f>
        <v>830468</v>
      </c>
      <c r="AM66" s="70" t="n">
        <f aca="false">IFERROR(__xludf.dummyfunction("""COMPUTED_VALUE"""),1557337)</f>
        <v>1557337</v>
      </c>
      <c r="AN66" s="70" t="n">
        <f aca="false">IFERROR(__xludf.dummyfunction("""COMPUTED_VALUE"""),1001981)</f>
        <v>1001981</v>
      </c>
      <c r="AO66" s="70" t="n">
        <f aca="false">IFERROR(__xludf.dummyfunction("""COMPUTED_VALUE"""),249618)</f>
        <v>249618</v>
      </c>
      <c r="AP66" s="70" t="n">
        <f aca="false">IFERROR(__xludf.dummyfunction("""COMPUTED_VALUE"""),3887)</f>
        <v>3887</v>
      </c>
      <c r="AQ66" s="70" t="n">
        <f aca="false">IFERROR(__xludf.dummyfunction("""COMPUTED_VALUE"""),892477)</f>
        <v>892477</v>
      </c>
      <c r="AR66" s="70" t="n">
        <f aca="false">IFERROR(__xludf.dummyfunction("""COMPUTED_VALUE"""),72303)</f>
        <v>72303</v>
      </c>
      <c r="AS66" s="70" t="n">
        <f aca="false">IFERROR(__xludf.dummyfunction("""COMPUTED_VALUE"""),2073506)</f>
        <v>2073506</v>
      </c>
      <c r="AT66" s="70" t="n">
        <f aca="false">IFERROR(__xludf.dummyfunction("""COMPUTED_VALUE"""),5754060)</f>
        <v>5754060</v>
      </c>
      <c r="AU66" s="70" t="n">
        <f aca="false">IFERROR(__xludf.dummyfunction("""COMPUTED_VALUE"""),164606)</f>
        <v>164606</v>
      </c>
      <c r="AV66" s="70" t="n">
        <f aca="false">IFERROR(__xludf.dummyfunction("""COMPUTED_VALUE"""),1281)</f>
        <v>1281</v>
      </c>
      <c r="AW66" s="70" t="n">
        <f aca="false">IFERROR(__xludf.dummyfunction("""COMPUTED_VALUE"""),1660564)</f>
        <v>1660564</v>
      </c>
      <c r="AX66" s="70" t="n">
        <f aca="false">IFERROR(__xludf.dummyfunction("""COMPUTED_VALUE"""),1039694)</f>
        <v>1039694</v>
      </c>
      <c r="AY66" s="70" t="n">
        <f aca="false">IFERROR(__xludf.dummyfunction("""COMPUTED_VALUE"""),231702)</f>
        <v>231702</v>
      </c>
      <c r="AZ66" s="70" t="n">
        <f aca="false">IFERROR(__xludf.dummyfunction("""COMPUTED_VALUE"""),126501)</f>
        <v>126501</v>
      </c>
      <c r="BA66" s="70" t="n">
        <f aca="false">IFERROR(__xludf.dummyfunction("""COMPUTED_VALUE"""),46324)</f>
        <v>46324</v>
      </c>
    </row>
    <row r="67" customFormat="false" ht="15.75" hidden="false" customHeight="false" outlineLevel="0" collapsed="false">
      <c r="A67" s="78" t="str">
        <f aca="false">IFERROR(__xludf.dummyfunction("""COMPUTED_VALUE"""),"heating_type")</f>
        <v>heating_type</v>
      </c>
      <c r="B67" s="72" t="n">
        <f aca="false">IFERROR(__xludf.dummyfunction("""COMPUTED_VALUE"""),78759135)</f>
        <v>78759135</v>
      </c>
      <c r="C67" s="73" t="n">
        <f aca="false">IFERROR(__xludf.dummyfunction("""COMPUTED_VALUE"""),1573116)</f>
        <v>1573116</v>
      </c>
      <c r="D67" s="70" t="n">
        <f aca="false">IFERROR(__xludf.dummyfunction("""COMPUTED_VALUE"""),138871)</f>
        <v>138871</v>
      </c>
      <c r="E67" s="70" t="n">
        <f aca="false">IFERROR(__xludf.dummyfunction("""COMPUTED_VALUE"""),2134724)</f>
        <v>2134724</v>
      </c>
      <c r="F67" s="70" t="n">
        <f aca="false">IFERROR(__xludf.dummyfunction("""COMPUTED_VALUE"""),1102388)</f>
        <v>1102388</v>
      </c>
      <c r="G67" s="70" t="n">
        <f aca="false">IFERROR(__xludf.dummyfunction("""COMPUTED_VALUE"""),6022420)</f>
        <v>6022420</v>
      </c>
      <c r="H67" s="70" t="n">
        <f aca="false">IFERROR(__xludf.dummyfunction("""COMPUTED_VALUE"""),2203586)</f>
        <v>2203586</v>
      </c>
      <c r="I67" s="70" t="n">
        <f aca="false">IFERROR(__xludf.dummyfunction("""COMPUTED_VALUE"""),1210332)</f>
        <v>1210332</v>
      </c>
      <c r="J67" s="70" t="n">
        <f aca="false">IFERROR(__xludf.dummyfunction("""COMPUTED_VALUE"""),395770)</f>
        <v>395770</v>
      </c>
      <c r="K67" s="70" t="n">
        <f aca="false">IFERROR(__xludf.dummyfunction("""COMPUTED_VALUE"""),109142)</f>
        <v>109142</v>
      </c>
      <c r="L67" s="70" t="n">
        <f aca="false">IFERROR(__xludf.dummyfunction("""COMPUTED_VALUE"""),4931824)</f>
        <v>4931824</v>
      </c>
      <c r="M67" s="70" t="n">
        <f aca="false">IFERROR(__xludf.dummyfunction("""COMPUTED_VALUE"""),3321959)</f>
        <v>3321959</v>
      </c>
      <c r="N67" s="70" t="n">
        <f aca="false">IFERROR(__xludf.dummyfunction("""COMPUTED_VALUE"""),269599)</f>
        <v>269599</v>
      </c>
      <c r="O67" s="70" t="n">
        <f aca="false">IFERROR(__xludf.dummyfunction("""COMPUTED_VALUE"""),460923)</f>
        <v>460923</v>
      </c>
      <c r="P67" s="70" t="n">
        <f aca="false">IFERROR(__xludf.dummyfunction("""COMPUTED_VALUE"""),755680)</f>
        <v>755680</v>
      </c>
      <c r="Q67" s="70" t="n">
        <f aca="false">IFERROR(__xludf.dummyfunction("""COMPUTED_VALUE"""),2288457)</f>
        <v>2288457</v>
      </c>
      <c r="R67" s="70" t="n">
        <f aca="false">IFERROR(__xludf.dummyfunction("""COMPUTED_VALUE"""),1229517)</f>
        <v>1229517</v>
      </c>
      <c r="S67" s="70" t="n">
        <f aca="false">IFERROR(__xludf.dummyfunction("""COMPUTED_VALUE"""),1012984)</f>
        <v>1012984</v>
      </c>
      <c r="T67" s="70" t="n">
        <f aca="false">IFERROR(__xludf.dummyfunction("""COMPUTED_VALUE"""),1226714)</f>
        <v>1226714</v>
      </c>
      <c r="U67" s="70" t="n">
        <f aca="false">IFERROR(__xludf.dummyfunction("""COMPUTED_VALUE"""),119654)</f>
        <v>119654</v>
      </c>
      <c r="V67" s="70" t="n">
        <f aca="false">IFERROR(__xludf.dummyfunction("""COMPUTED_VALUE"""),363091)</f>
        <v>363091</v>
      </c>
      <c r="W67" s="70" t="n">
        <f aca="false">IFERROR(__xludf.dummyfunction("""COMPUTED_VALUE"""),1912859)</f>
        <v>1912859</v>
      </c>
      <c r="X67" s="70" t="n">
        <f aca="false">IFERROR(__xludf.dummyfunction("""COMPUTED_VALUE"""),2210499)</f>
        <v>2210499</v>
      </c>
      <c r="Y67" s="70" t="n">
        <f aca="false">IFERROR(__xludf.dummyfunction("""COMPUTED_VALUE"""),3266895)</f>
        <v>3266895</v>
      </c>
      <c r="Z67" s="70" t="n">
        <f aca="false">IFERROR(__xludf.dummyfunction("""COMPUTED_VALUE"""),1320369)</f>
        <v>1320369</v>
      </c>
      <c r="AA67" s="70" t="n">
        <f aca="false">IFERROR(__xludf.dummyfunction("""COMPUTED_VALUE"""),654575)</f>
        <v>654575</v>
      </c>
      <c r="AB67" s="70" t="n">
        <f aca="false">IFERROR(__xludf.dummyfunction("""COMPUTED_VALUE"""),1503110)</f>
        <v>1503110</v>
      </c>
      <c r="AC67" s="70" t="n">
        <f aca="false">IFERROR(__xludf.dummyfunction("""COMPUTED_VALUE"""),435033)</f>
        <v>435033</v>
      </c>
      <c r="AD67" s="70" t="n">
        <f aca="false">IFERROR(__xludf.dummyfunction("""COMPUTED_VALUE"""),636265)</f>
        <v>636265</v>
      </c>
      <c r="AE67" s="70" t="n">
        <f aca="false">IFERROR(__xludf.dummyfunction("""COMPUTED_VALUE"""),881298)</f>
        <v>881298</v>
      </c>
      <c r="AF67" s="70" t="n">
        <f aca="false">IFERROR(__xludf.dummyfunction("""COMPUTED_VALUE"""),570717)</f>
        <v>570717</v>
      </c>
      <c r="AG67" s="70" t="n">
        <f aca="false">IFERROR(__xludf.dummyfunction("""COMPUTED_VALUE"""),39826)</f>
        <v>39826</v>
      </c>
      <c r="AH67" s="70" t="n">
        <f aca="false">IFERROR(__xludf.dummyfunction("""COMPUTED_VALUE"""),150510)</f>
        <v>150510</v>
      </c>
      <c r="AI67" s="70" t="n">
        <f aca="false">IFERROR(__xludf.dummyfunction("""COMPUTED_VALUE"""),3318746)</f>
        <v>3318746</v>
      </c>
      <c r="AJ67" s="70" t="n">
        <f aca="false">IFERROR(__xludf.dummyfunction("""COMPUTED_VALUE"""),3656795)</f>
        <v>3656795</v>
      </c>
      <c r="AK67" s="70" t="n">
        <f aca="false">IFERROR(__xludf.dummyfunction("""COMPUTED_VALUE"""),28871)</f>
        <v>28871</v>
      </c>
      <c r="AL67" s="70" t="n">
        <f aca="false">IFERROR(__xludf.dummyfunction("""COMPUTED_VALUE"""),3871745)</f>
        <v>3871745</v>
      </c>
      <c r="AM67" s="70" t="n">
        <f aca="false">IFERROR(__xludf.dummyfunction("""COMPUTED_VALUE"""),1764583)</f>
        <v>1764583</v>
      </c>
      <c r="AN67" s="70" t="n">
        <f aca="false">IFERROR(__xludf.dummyfunction("""COMPUTED_VALUE"""),1142265)</f>
        <v>1142265</v>
      </c>
      <c r="AO67" s="70" t="n">
        <f aca="false">IFERROR(__xludf.dummyfunction("""COMPUTED_VALUE"""),3151628)</f>
        <v>3151628</v>
      </c>
      <c r="AP67" s="70" t="n">
        <f aca="false">IFERROR(__xludf.dummyfunction("""COMPUTED_VALUE"""),356130)</f>
        <v>356130</v>
      </c>
      <c r="AQ67" s="70" t="n">
        <f aca="false">IFERROR(__xludf.dummyfunction("""COMPUTED_VALUE"""),1097821)</f>
        <v>1097821</v>
      </c>
      <c r="AR67" s="70" t="n">
        <f aca="false">IFERROR(__xludf.dummyfunction("""COMPUTED_VALUE"""),101943)</f>
        <v>101943</v>
      </c>
      <c r="AS67" s="70" t="n">
        <f aca="false">IFERROR(__xludf.dummyfunction("""COMPUTED_VALUE"""),2444141)</f>
        <v>2444141</v>
      </c>
      <c r="AT67" s="70" t="n">
        <f aca="false">IFERROR(__xludf.dummyfunction("""COMPUTED_VALUE"""),6085698)</f>
        <v>6085698</v>
      </c>
      <c r="AU67" s="70" t="n">
        <f aca="false">IFERROR(__xludf.dummyfunction("""COMPUTED_VALUE"""),814874)</f>
        <v>814874</v>
      </c>
      <c r="AV67" s="70" t="n">
        <f aca="false">IFERROR(__xludf.dummyfunction("""COMPUTED_VALUE"""),92592)</f>
        <v>92592</v>
      </c>
      <c r="AW67" s="70" t="n">
        <f aca="false">IFERROR(__xludf.dummyfunction("""COMPUTED_VALUE"""),2617605)</f>
        <v>2617605</v>
      </c>
      <c r="AX67" s="70" t="n">
        <f aca="false">IFERROR(__xludf.dummyfunction("""COMPUTED_VALUE"""),2222902)</f>
        <v>2222902</v>
      </c>
      <c r="AY67" s="70" t="n">
        <f aca="false">IFERROR(__xludf.dummyfunction("""COMPUTED_VALUE"""),842887)</f>
        <v>842887</v>
      </c>
      <c r="AZ67" s="70" t="n">
        <f aca="false">IFERROR(__xludf.dummyfunction("""COMPUTED_VALUE"""),453100)</f>
        <v>453100</v>
      </c>
      <c r="BA67" s="70" t="n">
        <f aca="false">IFERROR(__xludf.dummyfunction("""COMPUTED_VALUE"""),242102)</f>
        <v>242102</v>
      </c>
    </row>
    <row r="68" customFormat="false" ht="15.75" hidden="false" customHeight="false" outlineLevel="0" collapsed="false">
      <c r="A68" s="78" t="str">
        <f aca="false">IFERROR(__xludf.dummyfunction("""COMPUTED_VALUE"""),"heating_fuel_type")</f>
        <v>heating_fuel_type</v>
      </c>
      <c r="B68" s="72" t="n">
        <f aca="false">IFERROR(__xludf.dummyfunction("""COMPUTED_VALUE"""),26775957)</f>
        <v>26775957</v>
      </c>
      <c r="C68" s="73" t="n">
        <f aca="false">IFERROR(__xludf.dummyfunction("""COMPUTED_VALUE"""),16140)</f>
        <v>16140</v>
      </c>
      <c r="D68" s="70" t="n">
        <f aca="false">IFERROR(__xludf.dummyfunction("""COMPUTED_VALUE"""),122305)</f>
        <v>122305</v>
      </c>
      <c r="E68" s="70" t="n">
        <f aca="false">IFERROR(__xludf.dummyfunction("""COMPUTED_VALUE"""),15353)</f>
        <v>15353</v>
      </c>
      <c r="F68" s="70" t="n">
        <f aca="false">IFERROR(__xludf.dummyfunction("""COMPUTED_VALUE"""),6438)</f>
        <v>6438</v>
      </c>
      <c r="G68" s="70" t="n">
        <f aca="false">IFERROR(__xludf.dummyfunction("""COMPUTED_VALUE"""),356269)</f>
        <v>356269</v>
      </c>
      <c r="H68" s="70" t="n">
        <f aca="false">IFERROR(__xludf.dummyfunction("""COMPUTED_VALUE"""),717684)</f>
        <v>717684</v>
      </c>
      <c r="I68" s="70" t="n">
        <f aca="false">IFERROR(__xludf.dummyfunction("""COMPUTED_VALUE"""),1104419)</f>
        <v>1104419</v>
      </c>
      <c r="J68" s="70" t="n">
        <f aca="false">IFERROR(__xludf.dummyfunction("""COMPUTED_VALUE"""),22474)</f>
        <v>22474</v>
      </c>
      <c r="K68" s="70" t="n">
        <f aca="false">IFERROR(__xludf.dummyfunction("""COMPUTED_VALUE"""),279)</f>
        <v>279</v>
      </c>
      <c r="L68" s="70" t="n">
        <f aca="false">IFERROR(__xludf.dummyfunction("""COMPUTED_VALUE"""),2343823)</f>
        <v>2343823</v>
      </c>
      <c r="M68" s="70" t="n">
        <f aca="false">IFERROR(__xludf.dummyfunction("""COMPUTED_VALUE"""),1652088)</f>
        <v>1652088</v>
      </c>
      <c r="N68" s="70" t="n">
        <f aca="false">IFERROR(__xludf.dummyfunction("""COMPUTED_VALUE"""),0)</f>
        <v>0</v>
      </c>
      <c r="O68" s="70" t="n">
        <f aca="false">IFERROR(__xludf.dummyfunction("""COMPUTED_VALUE"""),212696)</f>
        <v>212696</v>
      </c>
      <c r="P68" s="70" t="n">
        <f aca="false">IFERROR(__xludf.dummyfunction("""COMPUTED_VALUE"""),97855)</f>
        <v>97855</v>
      </c>
      <c r="Q68" s="70" t="n">
        <f aca="false">IFERROR(__xludf.dummyfunction("""COMPUTED_VALUE"""),28431)</f>
        <v>28431</v>
      </c>
      <c r="R68" s="70" t="n">
        <f aca="false">IFERROR(__xludf.dummyfunction("""COMPUTED_VALUE"""),691852)</f>
        <v>691852</v>
      </c>
      <c r="S68" s="70" t="n">
        <f aca="false">IFERROR(__xludf.dummyfunction("""COMPUTED_VALUE"""),284330)</f>
        <v>284330</v>
      </c>
      <c r="T68" s="70" t="n">
        <f aca="false">IFERROR(__xludf.dummyfunction("""COMPUTED_VALUE"""),634910)</f>
        <v>634910</v>
      </c>
      <c r="U68" s="70" t="n">
        <f aca="false">IFERROR(__xludf.dummyfunction("""COMPUTED_VALUE"""),221)</f>
        <v>221</v>
      </c>
      <c r="V68" s="70" t="n">
        <f aca="false">IFERROR(__xludf.dummyfunction("""COMPUTED_VALUE"""),234202)</f>
        <v>234202</v>
      </c>
      <c r="W68" s="70" t="n">
        <f aca="false">IFERROR(__xludf.dummyfunction("""COMPUTED_VALUE"""),77066)</f>
        <v>77066</v>
      </c>
      <c r="X68" s="70" t="n">
        <f aca="false">IFERROR(__xludf.dummyfunction("""COMPUTED_VALUE"""),1806736)</f>
        <v>1806736</v>
      </c>
      <c r="Y68" s="70" t="n">
        <f aca="false">IFERROR(__xludf.dummyfunction("""COMPUTED_VALUE"""),521147)</f>
        <v>521147</v>
      </c>
      <c r="Z68" s="70" t="n">
        <f aca="false">IFERROR(__xludf.dummyfunction("""COMPUTED_VALUE"""),618985)</f>
        <v>618985</v>
      </c>
      <c r="AA68" s="70" t="n">
        <f aca="false">IFERROR(__xludf.dummyfunction("""COMPUTED_VALUE"""),73419)</f>
        <v>73419</v>
      </c>
      <c r="AB68" s="70" t="n">
        <f aca="false">IFERROR(__xludf.dummyfunction("""COMPUTED_VALUE"""),690525)</f>
        <v>690525</v>
      </c>
      <c r="AC68" s="70" t="n">
        <f aca="false">IFERROR(__xludf.dummyfunction("""COMPUTED_VALUE"""),427671)</f>
        <v>427671</v>
      </c>
      <c r="AD68" s="70" t="n">
        <f aca="false">IFERROR(__xludf.dummyfunction("""COMPUTED_VALUE"""),16813)</f>
        <v>16813</v>
      </c>
      <c r="AE68" s="70" t="n">
        <f aca="false">IFERROR(__xludf.dummyfunction("""COMPUTED_VALUE"""),5826)</f>
        <v>5826</v>
      </c>
      <c r="AF68" s="70" t="n">
        <f aca="false">IFERROR(__xludf.dummyfunction("""COMPUTED_VALUE"""),524296)</f>
        <v>524296</v>
      </c>
      <c r="AG68" s="70" t="n">
        <f aca="false">IFERROR(__xludf.dummyfunction("""COMPUTED_VALUE"""),9945)</f>
        <v>9945</v>
      </c>
      <c r="AH68" s="70" t="n">
        <f aca="false">IFERROR(__xludf.dummyfunction("""COMPUTED_VALUE"""),295652)</f>
        <v>295652</v>
      </c>
      <c r="AI68" s="70" t="n">
        <f aca="false">IFERROR(__xludf.dummyfunction("""COMPUTED_VALUE"""),3127636)</f>
        <v>3127636</v>
      </c>
      <c r="AJ68" s="70" t="n">
        <f aca="false">IFERROR(__xludf.dummyfunction("""COMPUTED_VALUE"""),1606329)</f>
        <v>1606329</v>
      </c>
      <c r="AK68" s="70" t="n">
        <f aca="false">IFERROR(__xludf.dummyfunction("""COMPUTED_VALUE"""),18166)</f>
        <v>18166</v>
      </c>
      <c r="AL68" s="70" t="n">
        <f aca="false">IFERROR(__xludf.dummyfunction("""COMPUTED_VALUE"""),1777630)</f>
        <v>1777630</v>
      </c>
      <c r="AM68" s="70" t="n">
        <f aca="false">IFERROR(__xludf.dummyfunction("""COMPUTED_VALUE"""),3191)</f>
        <v>3191</v>
      </c>
      <c r="AN68" s="70" t="n">
        <f aca="false">IFERROR(__xludf.dummyfunction("""COMPUTED_VALUE"""),113257)</f>
        <v>113257</v>
      </c>
      <c r="AO68" s="70" t="n">
        <f aca="false">IFERROR(__xludf.dummyfunction("""COMPUTED_VALUE"""),1951546)</f>
        <v>1951546</v>
      </c>
      <c r="AP68" s="70" t="n">
        <f aca="false">IFERROR(__xludf.dummyfunction("""COMPUTED_VALUE"""),309967)</f>
        <v>309967</v>
      </c>
      <c r="AQ68" s="70" t="n">
        <f aca="false">IFERROR(__xludf.dummyfunction("""COMPUTED_VALUE"""),239420)</f>
        <v>239420</v>
      </c>
      <c r="AR68" s="70" t="n">
        <f aca="false">IFERROR(__xludf.dummyfunction("""COMPUTED_VALUE"""),67849)</f>
        <v>67849</v>
      </c>
      <c r="AS68" s="70" t="n">
        <f aca="false">IFERROR(__xludf.dummyfunction("""COMPUTED_VALUE"""),200744)</f>
        <v>200744</v>
      </c>
      <c r="AT68" s="70" t="n">
        <f aca="false">IFERROR(__xludf.dummyfunction("""COMPUTED_VALUE"""),338026)</f>
        <v>338026</v>
      </c>
      <c r="AU68" s="70" t="n">
        <f aca="false">IFERROR(__xludf.dummyfunction("""COMPUTED_VALUE"""),33176)</f>
        <v>33176</v>
      </c>
      <c r="AV68" s="70" t="n">
        <f aca="false">IFERROR(__xludf.dummyfunction("""COMPUTED_VALUE"""),0)</f>
        <v>0</v>
      </c>
      <c r="AW68" s="70" t="n">
        <f aca="false">IFERROR(__xludf.dummyfunction("""COMPUTED_VALUE"""),1092132)</f>
        <v>1092132</v>
      </c>
      <c r="AX68" s="70" t="n">
        <f aca="false">IFERROR(__xludf.dummyfunction("""COMPUTED_VALUE"""),1239113)</f>
        <v>1239113</v>
      </c>
      <c r="AY68" s="70" t="n">
        <f aca="false">IFERROR(__xludf.dummyfunction("""COMPUTED_VALUE"""),729427)</f>
        <v>729427</v>
      </c>
      <c r="AZ68" s="70" t="n">
        <f aca="false">IFERROR(__xludf.dummyfunction("""COMPUTED_VALUE"""),283147)</f>
        <v>283147</v>
      </c>
      <c r="BA68" s="70" t="n">
        <f aca="false">IFERROR(__xludf.dummyfunction("""COMPUTED_VALUE"""),35351)</f>
        <v>35351</v>
      </c>
    </row>
    <row r="69" customFormat="false" ht="15.75" hidden="false" customHeight="false" outlineLevel="0" collapsed="false">
      <c r="A69" s="78" t="str">
        <f aca="false">IFERROR(__xludf.dummyfunction("""COMPUTED_VALUE"""),"interior_wall_type")</f>
        <v>interior_wall_type</v>
      </c>
      <c r="B69" s="72" t="n">
        <f aca="false">IFERROR(__xludf.dummyfunction("""COMPUTED_VALUE"""),22535166)</f>
        <v>22535166</v>
      </c>
      <c r="C69" s="73" t="n">
        <f aca="false">IFERROR(__xludf.dummyfunction("""COMPUTED_VALUE"""),1522674)</f>
        <v>1522674</v>
      </c>
      <c r="D69" s="70" t="n">
        <f aca="false">IFERROR(__xludf.dummyfunction("""COMPUTED_VALUE"""),0)</f>
        <v>0</v>
      </c>
      <c r="E69" s="70" t="n">
        <f aca="false">IFERROR(__xludf.dummyfunction("""COMPUTED_VALUE"""),29988)</f>
        <v>29988</v>
      </c>
      <c r="F69" s="70" t="n">
        <f aca="false">IFERROR(__xludf.dummyfunction("""COMPUTED_VALUE"""),402)</f>
        <v>402</v>
      </c>
      <c r="G69" s="70" t="n">
        <f aca="false">IFERROR(__xludf.dummyfunction("""COMPUTED_VALUE"""),0)</f>
        <v>0</v>
      </c>
      <c r="H69" s="70" t="n">
        <f aca="false">IFERROR(__xludf.dummyfunction("""COMPUTED_VALUE"""),1374254)</f>
        <v>1374254</v>
      </c>
      <c r="I69" s="70" t="n">
        <f aca="false">IFERROR(__xludf.dummyfunction("""COMPUTED_VALUE"""),0)</f>
        <v>0</v>
      </c>
      <c r="J69" s="70" t="n">
        <f aca="false">IFERROR(__xludf.dummyfunction("""COMPUTED_VALUE"""),172035)</f>
        <v>172035</v>
      </c>
      <c r="K69" s="70" t="n">
        <f aca="false">IFERROR(__xludf.dummyfunction("""COMPUTED_VALUE"""),0)</f>
        <v>0</v>
      </c>
      <c r="L69" s="70" t="n">
        <f aca="false">IFERROR(__xludf.dummyfunction("""COMPUTED_VALUE"""),4868682)</f>
        <v>4868682</v>
      </c>
      <c r="M69" s="70" t="n">
        <f aca="false">IFERROR(__xludf.dummyfunction("""COMPUTED_VALUE"""),1959159)</f>
        <v>1959159</v>
      </c>
      <c r="N69" s="70" t="n">
        <f aca="false">IFERROR(__xludf.dummyfunction("""COMPUTED_VALUE"""),398504)</f>
        <v>398504</v>
      </c>
      <c r="O69" s="70" t="n">
        <f aca="false">IFERROR(__xludf.dummyfunction("""COMPUTED_VALUE"""),68857)</f>
        <v>68857</v>
      </c>
      <c r="P69" s="70" t="n">
        <f aca="false">IFERROR(__xludf.dummyfunction("""COMPUTED_VALUE"""),185300)</f>
        <v>185300</v>
      </c>
      <c r="Q69" s="70" t="n">
        <f aca="false">IFERROR(__xludf.dummyfunction("""COMPUTED_VALUE"""),0)</f>
        <v>0</v>
      </c>
      <c r="R69" s="70" t="n">
        <f aca="false">IFERROR(__xludf.dummyfunction("""COMPUTED_VALUE"""),975100)</f>
        <v>975100</v>
      </c>
      <c r="S69" s="70" t="n">
        <f aca="false">IFERROR(__xludf.dummyfunction("""COMPUTED_VALUE"""),398982)</f>
        <v>398982</v>
      </c>
      <c r="T69" s="70" t="n">
        <f aca="false">IFERROR(__xludf.dummyfunction("""COMPUTED_VALUE"""),96732)</f>
        <v>96732</v>
      </c>
      <c r="U69" s="70" t="n">
        <f aca="false">IFERROR(__xludf.dummyfunction("""COMPUTED_VALUE"""),31)</f>
        <v>31</v>
      </c>
      <c r="V69" s="70" t="n">
        <f aca="false">IFERROR(__xludf.dummyfunction("""COMPUTED_VALUE"""),0)</f>
        <v>0</v>
      </c>
      <c r="W69" s="70" t="n">
        <f aca="false">IFERROR(__xludf.dummyfunction("""COMPUTED_VALUE"""),0)</f>
        <v>0</v>
      </c>
      <c r="X69" s="70" t="n">
        <f aca="false">IFERROR(__xludf.dummyfunction("""COMPUTED_VALUE"""),0)</f>
        <v>0</v>
      </c>
      <c r="Y69" s="70" t="n">
        <f aca="false">IFERROR(__xludf.dummyfunction("""COMPUTED_VALUE"""),25872)</f>
        <v>25872</v>
      </c>
      <c r="Z69" s="70" t="n">
        <f aca="false">IFERROR(__xludf.dummyfunction("""COMPUTED_VALUE"""),848947)</f>
        <v>848947</v>
      </c>
      <c r="AA69" s="70" t="n">
        <f aca="false">IFERROR(__xludf.dummyfunction("""COMPUTED_VALUE"""),810466)</f>
        <v>810466</v>
      </c>
      <c r="AB69" s="70" t="n">
        <f aca="false">IFERROR(__xludf.dummyfunction("""COMPUTED_VALUE"""),419436)</f>
        <v>419436</v>
      </c>
      <c r="AC69" s="70" t="n">
        <f aca="false">IFERROR(__xludf.dummyfunction("""COMPUTED_VALUE"""),0)</f>
        <v>0</v>
      </c>
      <c r="AD69" s="70" t="n">
        <f aca="false">IFERROR(__xludf.dummyfunction("""COMPUTED_VALUE"""),181050)</f>
        <v>181050</v>
      </c>
      <c r="AE69" s="70" t="n">
        <f aca="false">IFERROR(__xludf.dummyfunction("""COMPUTED_VALUE"""),8567)</f>
        <v>8567</v>
      </c>
      <c r="AF69" s="70" t="n">
        <f aca="false">IFERROR(__xludf.dummyfunction("""COMPUTED_VALUE"""),0)</f>
        <v>0</v>
      </c>
      <c r="AG69" s="70" t="n">
        <f aca="false">IFERROR(__xludf.dummyfunction("""COMPUTED_VALUE"""),0)</f>
        <v>0</v>
      </c>
      <c r="AH69" s="70" t="n">
        <f aca="false">IFERROR(__xludf.dummyfunction("""COMPUTED_VALUE"""),221559)</f>
        <v>221559</v>
      </c>
      <c r="AI69" s="70" t="n">
        <f aca="false">IFERROR(__xludf.dummyfunction("""COMPUTED_VALUE"""),1204)</f>
        <v>1204</v>
      </c>
      <c r="AJ69" s="70" t="n">
        <f aca="false">IFERROR(__xludf.dummyfunction("""COMPUTED_VALUE"""),970920)</f>
        <v>970920</v>
      </c>
      <c r="AK69" s="70" t="n">
        <f aca="false">IFERROR(__xludf.dummyfunction("""COMPUTED_VALUE"""),27715)</f>
        <v>27715</v>
      </c>
      <c r="AL69" s="70" t="n">
        <f aca="false">IFERROR(__xludf.dummyfunction("""COMPUTED_VALUE"""),275481)</f>
        <v>275481</v>
      </c>
      <c r="AM69" s="70" t="n">
        <f aca="false">IFERROR(__xludf.dummyfunction("""COMPUTED_VALUE"""),92337)</f>
        <v>92337</v>
      </c>
      <c r="AN69" s="70" t="n">
        <f aca="false">IFERROR(__xludf.dummyfunction("""COMPUTED_VALUE"""),284576)</f>
        <v>284576</v>
      </c>
      <c r="AO69" s="70" t="n">
        <f aca="false">IFERROR(__xludf.dummyfunction("""COMPUTED_VALUE"""),178637)</f>
        <v>178637</v>
      </c>
      <c r="AP69" s="70" t="n">
        <f aca="false">IFERROR(__xludf.dummyfunction("""COMPUTED_VALUE"""),0)</f>
        <v>0</v>
      </c>
      <c r="AQ69" s="70" t="n">
        <f aca="false">IFERROR(__xludf.dummyfunction("""COMPUTED_VALUE"""),350482)</f>
        <v>350482</v>
      </c>
      <c r="AR69" s="70" t="n">
        <f aca="false">IFERROR(__xludf.dummyfunction("""COMPUTED_VALUE"""),71627)</f>
        <v>71627</v>
      </c>
      <c r="AS69" s="70" t="n">
        <f aca="false">IFERROR(__xludf.dummyfunction("""COMPUTED_VALUE"""),1477886)</f>
        <v>1477886</v>
      </c>
      <c r="AT69" s="70" t="n">
        <f aca="false">IFERROR(__xludf.dummyfunction("""COMPUTED_VALUE"""),1622849)</f>
        <v>1622849</v>
      </c>
      <c r="AU69" s="70" t="n">
        <f aca="false">IFERROR(__xludf.dummyfunction("""COMPUTED_VALUE"""),273890)</f>
        <v>273890</v>
      </c>
      <c r="AV69" s="70" t="n">
        <f aca="false">IFERROR(__xludf.dummyfunction("""COMPUTED_VALUE"""),0)</f>
        <v>0</v>
      </c>
      <c r="AW69" s="70" t="n">
        <f aca="false">IFERROR(__xludf.dummyfunction("""COMPUTED_VALUE"""),1385467)</f>
        <v>1385467</v>
      </c>
      <c r="AX69" s="70" t="n">
        <f aca="false">IFERROR(__xludf.dummyfunction("""COMPUTED_VALUE"""),659746)</f>
        <v>659746</v>
      </c>
      <c r="AY69" s="70" t="n">
        <f aca="false">IFERROR(__xludf.dummyfunction("""COMPUTED_VALUE"""),0)</f>
        <v>0</v>
      </c>
      <c r="AZ69" s="70" t="n">
        <f aca="false">IFERROR(__xludf.dummyfunction("""COMPUTED_VALUE"""),68181)</f>
        <v>68181</v>
      </c>
      <c r="BA69" s="70" t="n">
        <f aca="false">IFERROR(__xludf.dummyfunction("""COMPUTED_VALUE"""),227571)</f>
        <v>227571</v>
      </c>
    </row>
    <row r="70" customFormat="false" ht="15.75" hidden="false" customHeight="false" outlineLevel="0" collapsed="false">
      <c r="A70" s="78" t="str">
        <f aca="false">IFERROR(__xludf.dummyfunction("""COMPUTED_VALUE"""),"other_rooms")</f>
        <v>other_rooms</v>
      </c>
      <c r="B70" s="72" t="n">
        <f aca="false">IFERROR(__xludf.dummyfunction("""COMPUTED_VALUE"""),9112910)</f>
        <v>9112910</v>
      </c>
      <c r="C70" s="73" t="n">
        <f aca="false">IFERROR(__xludf.dummyfunction("""COMPUTED_VALUE"""),55424)</f>
        <v>55424</v>
      </c>
      <c r="D70" s="70" t="n">
        <f aca="false">IFERROR(__xludf.dummyfunction("""COMPUTED_VALUE"""),793)</f>
        <v>793</v>
      </c>
      <c r="E70" s="70" t="n">
        <f aca="false">IFERROR(__xludf.dummyfunction("""COMPUTED_VALUE"""),67477)</f>
        <v>67477</v>
      </c>
      <c r="F70" s="70" t="n">
        <f aca="false">IFERROR(__xludf.dummyfunction("""COMPUTED_VALUE"""),175)</f>
        <v>175</v>
      </c>
      <c r="G70" s="70" t="n">
        <f aca="false">IFERROR(__xludf.dummyfunction("""COMPUTED_VALUE"""),1414929)</f>
        <v>1414929</v>
      </c>
      <c r="H70" s="70" t="n">
        <f aca="false">IFERROR(__xludf.dummyfunction("""COMPUTED_VALUE"""),5857)</f>
        <v>5857</v>
      </c>
      <c r="I70" s="70" t="n">
        <f aca="false">IFERROR(__xludf.dummyfunction("""COMPUTED_VALUE"""),62369)</f>
        <v>62369</v>
      </c>
      <c r="J70" s="70" t="n">
        <f aca="false">IFERROR(__xludf.dummyfunction("""COMPUTED_VALUE"""),99446)</f>
        <v>99446</v>
      </c>
      <c r="K70" s="70" t="n">
        <f aca="false">IFERROR(__xludf.dummyfunction("""COMPUTED_VALUE"""),0)</f>
        <v>0</v>
      </c>
      <c r="L70" s="70" t="n">
        <f aca="false">IFERROR(__xludf.dummyfunction("""COMPUTED_VALUE"""),262654)</f>
        <v>262654</v>
      </c>
      <c r="M70" s="70" t="n">
        <f aca="false">IFERROR(__xludf.dummyfunction("""COMPUTED_VALUE"""),273925)</f>
        <v>273925</v>
      </c>
      <c r="N70" s="70" t="n">
        <f aca="false">IFERROR(__xludf.dummyfunction("""COMPUTED_VALUE"""),56143)</f>
        <v>56143</v>
      </c>
      <c r="O70" s="70" t="n">
        <f aca="false">IFERROR(__xludf.dummyfunction("""COMPUTED_VALUE"""),60079)</f>
        <v>60079</v>
      </c>
      <c r="P70" s="70" t="n">
        <f aca="false">IFERROR(__xludf.dummyfunction("""COMPUTED_VALUE"""),111762)</f>
        <v>111762</v>
      </c>
      <c r="Q70" s="70" t="n">
        <f aca="false">IFERROR(__xludf.dummyfunction("""COMPUTED_VALUE"""),644892)</f>
        <v>644892</v>
      </c>
      <c r="R70" s="70" t="n">
        <f aca="false">IFERROR(__xludf.dummyfunction("""COMPUTED_VALUE"""),145590)</f>
        <v>145590</v>
      </c>
      <c r="S70" s="70" t="n">
        <f aca="false">IFERROR(__xludf.dummyfunction("""COMPUTED_VALUE"""),348468)</f>
        <v>348468</v>
      </c>
      <c r="T70" s="70" t="n">
        <f aca="false">IFERROR(__xludf.dummyfunction("""COMPUTED_VALUE"""),192417)</f>
        <v>192417</v>
      </c>
      <c r="U70" s="70" t="n">
        <f aca="false">IFERROR(__xludf.dummyfunction("""COMPUTED_VALUE"""),0)</f>
        <v>0</v>
      </c>
      <c r="V70" s="70" t="n">
        <f aca="false">IFERROR(__xludf.dummyfunction("""COMPUTED_VALUE"""),5512)</f>
        <v>5512</v>
      </c>
      <c r="W70" s="70" t="n">
        <f aca="false">IFERROR(__xludf.dummyfunction("""COMPUTED_VALUE"""),0)</f>
        <v>0</v>
      </c>
      <c r="X70" s="70" t="n">
        <f aca="false">IFERROR(__xludf.dummyfunction("""COMPUTED_VALUE"""),14641)</f>
        <v>14641</v>
      </c>
      <c r="Y70" s="70" t="n">
        <f aca="false">IFERROR(__xludf.dummyfunction("""COMPUTED_VALUE"""),123126)</f>
        <v>123126</v>
      </c>
      <c r="Z70" s="70" t="n">
        <f aca="false">IFERROR(__xludf.dummyfunction("""COMPUTED_VALUE"""),165726)</f>
        <v>165726</v>
      </c>
      <c r="AA70" s="70" t="n">
        <f aca="false">IFERROR(__xludf.dummyfunction("""COMPUTED_VALUE"""),14905)</f>
        <v>14905</v>
      </c>
      <c r="AB70" s="70" t="n">
        <f aca="false">IFERROR(__xludf.dummyfunction("""COMPUTED_VALUE"""),283811)</f>
        <v>283811</v>
      </c>
      <c r="AC70" s="70" t="n">
        <f aca="false">IFERROR(__xludf.dummyfunction("""COMPUTED_VALUE"""),110381)</f>
        <v>110381</v>
      </c>
      <c r="AD70" s="70" t="n">
        <f aca="false">IFERROR(__xludf.dummyfunction("""COMPUTED_VALUE"""),13601)</f>
        <v>13601</v>
      </c>
      <c r="AE70" s="70" t="n">
        <f aca="false">IFERROR(__xludf.dummyfunction("""COMPUTED_VALUE"""),371091)</f>
        <v>371091</v>
      </c>
      <c r="AF70" s="70" t="n">
        <f aca="false">IFERROR(__xludf.dummyfunction("""COMPUTED_VALUE"""),1051)</f>
        <v>1051</v>
      </c>
      <c r="AG70" s="70" t="n">
        <f aca="false">IFERROR(__xludf.dummyfunction("""COMPUTED_VALUE"""),0)</f>
        <v>0</v>
      </c>
      <c r="AH70" s="70" t="n">
        <f aca="false">IFERROR(__xludf.dummyfunction("""COMPUTED_VALUE"""),25740)</f>
        <v>25740</v>
      </c>
      <c r="AI70" s="70" t="n">
        <f aca="false">IFERROR(__xludf.dummyfunction("""COMPUTED_VALUE"""),518074)</f>
        <v>518074</v>
      </c>
      <c r="AJ70" s="70" t="n">
        <f aca="false">IFERROR(__xludf.dummyfunction("""COMPUTED_VALUE"""),88442)</f>
        <v>88442</v>
      </c>
      <c r="AK70" s="70" t="n">
        <f aca="false">IFERROR(__xludf.dummyfunction("""COMPUTED_VALUE"""),415)</f>
        <v>415</v>
      </c>
      <c r="AL70" s="70" t="n">
        <f aca="false">IFERROR(__xludf.dummyfunction("""COMPUTED_VALUE"""),909200)</f>
        <v>909200</v>
      </c>
      <c r="AM70" s="70" t="n">
        <f aca="false">IFERROR(__xludf.dummyfunction("""COMPUTED_VALUE"""),226645)</f>
        <v>226645</v>
      </c>
      <c r="AN70" s="70" t="n">
        <f aca="false">IFERROR(__xludf.dummyfunction("""COMPUTED_VALUE"""),150754)</f>
        <v>150754</v>
      </c>
      <c r="AO70" s="70" t="n">
        <f aca="false">IFERROR(__xludf.dummyfunction("""COMPUTED_VALUE"""),387739)</f>
        <v>387739</v>
      </c>
      <c r="AP70" s="70" t="n">
        <f aca="false">IFERROR(__xludf.dummyfunction("""COMPUTED_VALUE"""),16073)</f>
        <v>16073</v>
      </c>
      <c r="AQ70" s="70" t="n">
        <f aca="false">IFERROR(__xludf.dummyfunction("""COMPUTED_VALUE"""),52015)</f>
        <v>52015</v>
      </c>
      <c r="AR70" s="70" t="n">
        <f aca="false">IFERROR(__xludf.dummyfunction("""COMPUTED_VALUE"""),16173)</f>
        <v>16173</v>
      </c>
      <c r="AS70" s="70" t="n">
        <f aca="false">IFERROR(__xludf.dummyfunction("""COMPUTED_VALUE"""),294034)</f>
        <v>294034</v>
      </c>
      <c r="AT70" s="70" t="n">
        <f aca="false">IFERROR(__xludf.dummyfunction("""COMPUTED_VALUE"""),500111)</f>
        <v>500111</v>
      </c>
      <c r="AU70" s="70" t="n">
        <f aca="false">IFERROR(__xludf.dummyfunction("""COMPUTED_VALUE"""),14)</f>
        <v>14</v>
      </c>
      <c r="AV70" s="70" t="n">
        <f aca="false">IFERROR(__xludf.dummyfunction("""COMPUTED_VALUE"""),3634)</f>
        <v>3634</v>
      </c>
      <c r="AW70" s="70" t="n">
        <f aca="false">IFERROR(__xludf.dummyfunction("""COMPUTED_VALUE"""),310796)</f>
        <v>310796</v>
      </c>
      <c r="AX70" s="70" t="n">
        <f aca="false">IFERROR(__xludf.dummyfunction("""COMPUTED_VALUE"""),357187)</f>
        <v>357187</v>
      </c>
      <c r="AY70" s="70" t="n">
        <f aca="false">IFERROR(__xludf.dummyfunction("""COMPUTED_VALUE"""),192366)</f>
        <v>192366</v>
      </c>
      <c r="AZ70" s="70" t="n">
        <f aca="false">IFERROR(__xludf.dummyfunction("""COMPUTED_VALUE"""),156166)</f>
        <v>156166</v>
      </c>
      <c r="BA70" s="70" t="n">
        <f aca="false">IFERROR(__xludf.dummyfunction("""COMPUTED_VALUE"""),1087)</f>
        <v>1087</v>
      </c>
    </row>
    <row r="71" customFormat="false" ht="15.75" hidden="false" customHeight="false" outlineLevel="0" collapsed="false">
      <c r="A71" s="78" t="str">
        <f aca="false">IFERROR(__xludf.dummyfunction("""COMPUTED_VALUE"""),"parking_type")</f>
        <v>parking_type</v>
      </c>
      <c r="B71" s="72" t="n">
        <f aca="false">IFERROR(__xludf.dummyfunction("""COMPUTED_VALUE"""),63412572)</f>
        <v>63412572</v>
      </c>
      <c r="C71" s="73" t="n">
        <f aca="false">IFERROR(__xludf.dummyfunction("""COMPUTED_VALUE"""),777449)</f>
        <v>777449</v>
      </c>
      <c r="D71" s="70" t="n">
        <f aca="false">IFERROR(__xludf.dummyfunction("""COMPUTED_VALUE"""),136488)</f>
        <v>136488</v>
      </c>
      <c r="E71" s="70" t="n">
        <f aca="false">IFERROR(__xludf.dummyfunction("""COMPUTED_VALUE"""),1935911)</f>
        <v>1935911</v>
      </c>
      <c r="F71" s="70" t="n">
        <f aca="false">IFERROR(__xludf.dummyfunction("""COMPUTED_VALUE"""),820229)</f>
        <v>820229</v>
      </c>
      <c r="G71" s="70" t="n">
        <f aca="false">IFERROR(__xludf.dummyfunction("""COMPUTED_VALUE"""),6725757)</f>
        <v>6725757</v>
      </c>
      <c r="H71" s="70" t="n">
        <f aca="false">IFERROR(__xludf.dummyfunction("""COMPUTED_VALUE"""),1817682)</f>
        <v>1817682</v>
      </c>
      <c r="I71" s="70" t="n">
        <f aca="false">IFERROR(__xludf.dummyfunction("""COMPUTED_VALUE"""),523047)</f>
        <v>523047</v>
      </c>
      <c r="J71" s="70" t="n">
        <f aca="false">IFERROR(__xludf.dummyfunction("""COMPUTED_VALUE"""),276725)</f>
        <v>276725</v>
      </c>
      <c r="K71" s="70" t="n">
        <f aca="false">IFERROR(__xludf.dummyfunction("""COMPUTED_VALUE"""),57574)</f>
        <v>57574</v>
      </c>
      <c r="L71" s="70" t="n">
        <f aca="false">IFERROR(__xludf.dummyfunction("""COMPUTED_VALUE"""),4587411)</f>
        <v>4587411</v>
      </c>
      <c r="M71" s="70" t="n">
        <f aca="false">IFERROR(__xludf.dummyfunction("""COMPUTED_VALUE"""),1563557)</f>
        <v>1563557</v>
      </c>
      <c r="N71" s="70" t="n">
        <f aca="false">IFERROR(__xludf.dummyfunction("""COMPUTED_VALUE"""),517726)</f>
        <v>517726</v>
      </c>
      <c r="O71" s="70" t="n">
        <f aca="false">IFERROR(__xludf.dummyfunction("""COMPUTED_VALUE"""),445048)</f>
        <v>445048</v>
      </c>
      <c r="P71" s="70" t="n">
        <f aca="false">IFERROR(__xludf.dummyfunction("""COMPUTED_VALUE"""),2314243)</f>
        <v>2314243</v>
      </c>
      <c r="Q71" s="70" t="n">
        <f aca="false">IFERROR(__xludf.dummyfunction("""COMPUTED_VALUE"""),1945839)</f>
        <v>1945839</v>
      </c>
      <c r="R71" s="70" t="n">
        <f aca="false">IFERROR(__xludf.dummyfunction("""COMPUTED_VALUE"""),1054393)</f>
        <v>1054393</v>
      </c>
      <c r="S71" s="70" t="n">
        <f aca="false">IFERROR(__xludf.dummyfunction("""COMPUTED_VALUE"""),896220)</f>
        <v>896220</v>
      </c>
      <c r="T71" s="70" t="n">
        <f aca="false">IFERROR(__xludf.dummyfunction("""COMPUTED_VALUE"""),969716)</f>
        <v>969716</v>
      </c>
      <c r="U71" s="70" t="n">
        <f aca="false">IFERROR(__xludf.dummyfunction("""COMPUTED_VALUE"""),198631)</f>
        <v>198631</v>
      </c>
      <c r="V71" s="70" t="n">
        <f aca="false">IFERROR(__xludf.dummyfunction("""COMPUTED_VALUE"""),70666)</f>
        <v>70666</v>
      </c>
      <c r="W71" s="70" t="n">
        <f aca="false">IFERROR(__xludf.dummyfunction("""COMPUTED_VALUE"""),1002687)</f>
        <v>1002687</v>
      </c>
      <c r="X71" s="70" t="n">
        <f aca="false">IFERROR(__xludf.dummyfunction("""COMPUTED_VALUE"""),708924)</f>
        <v>708924</v>
      </c>
      <c r="Y71" s="70" t="n">
        <f aca="false">IFERROR(__xludf.dummyfunction("""COMPUTED_VALUE"""),2493968)</f>
        <v>2493968</v>
      </c>
      <c r="Z71" s="70" t="n">
        <f aca="false">IFERROR(__xludf.dummyfunction("""COMPUTED_VALUE"""),1487476)</f>
        <v>1487476</v>
      </c>
      <c r="AA71" s="70" t="n">
        <f aca="false">IFERROR(__xludf.dummyfunction("""COMPUTED_VALUE"""),194597)</f>
        <v>194597</v>
      </c>
      <c r="AB71" s="70" t="n">
        <f aca="false">IFERROR(__xludf.dummyfunction("""COMPUTED_VALUE"""),1335653)</f>
        <v>1335653</v>
      </c>
      <c r="AC71" s="70" t="n">
        <f aca="false">IFERROR(__xludf.dummyfunction("""COMPUTED_VALUE"""),322922)</f>
        <v>322922</v>
      </c>
      <c r="AD71" s="70" t="n">
        <f aca="false">IFERROR(__xludf.dummyfunction("""COMPUTED_VALUE"""),607727)</f>
        <v>607727</v>
      </c>
      <c r="AE71" s="70" t="n">
        <f aca="false">IFERROR(__xludf.dummyfunction("""COMPUTED_VALUE"""),796614)</f>
        <v>796614</v>
      </c>
      <c r="AF71" s="70" t="n">
        <f aca="false">IFERROR(__xludf.dummyfunction("""COMPUTED_VALUE"""),166188)</f>
        <v>166188</v>
      </c>
      <c r="AG71" s="70" t="n">
        <f aca="false">IFERROR(__xludf.dummyfunction("""COMPUTED_VALUE"""),1108395)</f>
        <v>1108395</v>
      </c>
      <c r="AH71" s="70" t="n">
        <f aca="false">IFERROR(__xludf.dummyfunction("""COMPUTED_VALUE"""),94487)</f>
        <v>94487</v>
      </c>
      <c r="AI71" s="70" t="n">
        <f aca="false">IFERROR(__xludf.dummyfunction("""COMPUTED_VALUE"""),2753540)</f>
        <v>2753540</v>
      </c>
      <c r="AJ71" s="70" t="n">
        <f aca="false">IFERROR(__xludf.dummyfunction("""COMPUTED_VALUE"""),1295403)</f>
        <v>1295403</v>
      </c>
      <c r="AK71" s="70" t="n">
        <f aca="false">IFERROR(__xludf.dummyfunction("""COMPUTED_VALUE"""),56558)</f>
        <v>56558</v>
      </c>
      <c r="AL71" s="70" t="n">
        <f aca="false">IFERROR(__xludf.dummyfunction("""COMPUTED_VALUE"""),3210576)</f>
        <v>3210576</v>
      </c>
      <c r="AM71" s="70" t="n">
        <f aca="false">IFERROR(__xludf.dummyfunction("""COMPUTED_VALUE"""),1370011)</f>
        <v>1370011</v>
      </c>
      <c r="AN71" s="70" t="n">
        <f aca="false">IFERROR(__xludf.dummyfunction("""COMPUTED_VALUE"""),1017094)</f>
        <v>1017094</v>
      </c>
      <c r="AO71" s="70" t="n">
        <f aca="false">IFERROR(__xludf.dummyfunction("""COMPUTED_VALUE"""),2004902)</f>
        <v>2004902</v>
      </c>
      <c r="AP71" s="70" t="n">
        <f aca="false">IFERROR(__xludf.dummyfunction("""COMPUTED_VALUE"""),134314)</f>
        <v>134314</v>
      </c>
      <c r="AQ71" s="70" t="n">
        <f aca="false">IFERROR(__xludf.dummyfunction("""COMPUTED_VALUE"""),885745)</f>
        <v>885745</v>
      </c>
      <c r="AR71" s="70" t="n">
        <f aca="false">IFERROR(__xludf.dummyfunction("""COMPUTED_VALUE"""),121650)</f>
        <v>121650</v>
      </c>
      <c r="AS71" s="70" t="n">
        <f aca="false">IFERROR(__xludf.dummyfunction("""COMPUTED_VALUE"""),1702159)</f>
        <v>1702159</v>
      </c>
      <c r="AT71" s="70" t="n">
        <f aca="false">IFERROR(__xludf.dummyfunction("""COMPUTED_VALUE"""),6040379)</f>
        <v>6040379</v>
      </c>
      <c r="AU71" s="70" t="n">
        <f aca="false">IFERROR(__xludf.dummyfunction("""COMPUTED_VALUE"""),591933)</f>
        <v>591933</v>
      </c>
      <c r="AV71" s="70" t="n">
        <f aca="false">IFERROR(__xludf.dummyfunction("""COMPUTED_VALUE"""),41549)</f>
        <v>41549</v>
      </c>
      <c r="AW71" s="70" t="n">
        <f aca="false">IFERROR(__xludf.dummyfunction("""COMPUTED_VALUE"""),1403385)</f>
        <v>1403385</v>
      </c>
      <c r="AX71" s="70" t="n">
        <f aca="false">IFERROR(__xludf.dummyfunction("""COMPUTED_VALUE"""),1977635)</f>
        <v>1977635</v>
      </c>
      <c r="AY71" s="70" t="n">
        <f aca="false">IFERROR(__xludf.dummyfunction("""COMPUTED_VALUE"""),119710)</f>
        <v>119710</v>
      </c>
      <c r="AZ71" s="70" t="n">
        <f aca="false">IFERROR(__xludf.dummyfunction("""COMPUTED_VALUE"""),569683)</f>
        <v>569683</v>
      </c>
      <c r="BA71" s="70" t="n">
        <f aca="false">IFERROR(__xludf.dummyfunction("""COMPUTED_VALUE"""),162396)</f>
        <v>162396</v>
      </c>
    </row>
    <row r="72" customFormat="false" ht="15.75" hidden="false" customHeight="false" outlineLevel="0" collapsed="false">
      <c r="A72" s="78" t="str">
        <f aca="false">IFERROR(__xludf.dummyfunction("""COMPUTED_VALUE"""),"parking_spaces_count")</f>
        <v>parking_spaces_count</v>
      </c>
      <c r="B72" s="72" t="n">
        <f aca="false">IFERROR(__xludf.dummyfunction("""COMPUTED_VALUE"""),51810333)</f>
        <v>51810333</v>
      </c>
      <c r="C72" s="73" t="n">
        <f aca="false">IFERROR(__xludf.dummyfunction("""COMPUTED_VALUE"""),537496)</f>
        <v>537496</v>
      </c>
      <c r="D72" s="70" t="n">
        <f aca="false">IFERROR(__xludf.dummyfunction("""COMPUTED_VALUE"""),100672)</f>
        <v>100672</v>
      </c>
      <c r="E72" s="70" t="n">
        <f aca="false">IFERROR(__xludf.dummyfunction("""COMPUTED_VALUE"""),1884439)</f>
        <v>1884439</v>
      </c>
      <c r="F72" s="70" t="n">
        <f aca="false">IFERROR(__xludf.dummyfunction("""COMPUTED_VALUE"""),388506)</f>
        <v>388506</v>
      </c>
      <c r="G72" s="70" t="n">
        <f aca="false">IFERROR(__xludf.dummyfunction("""COMPUTED_VALUE"""),6315592)</f>
        <v>6315592</v>
      </c>
      <c r="H72" s="70" t="n">
        <f aca="false">IFERROR(__xludf.dummyfunction("""COMPUTED_VALUE"""),1215166)</f>
        <v>1215166</v>
      </c>
      <c r="I72" s="70" t="n">
        <f aca="false">IFERROR(__xludf.dummyfunction("""COMPUTED_VALUE"""),300981)</f>
        <v>300981</v>
      </c>
      <c r="J72" s="70" t="n">
        <f aca="false">IFERROR(__xludf.dummyfunction("""COMPUTED_VALUE"""),259875)</f>
        <v>259875</v>
      </c>
      <c r="K72" s="70" t="n">
        <f aca="false">IFERROR(__xludf.dummyfunction("""COMPUTED_VALUE"""),24336)</f>
        <v>24336</v>
      </c>
      <c r="L72" s="70" t="n">
        <f aca="false">IFERROR(__xludf.dummyfunction("""COMPUTED_VALUE"""),2970691)</f>
        <v>2970691</v>
      </c>
      <c r="M72" s="70" t="n">
        <f aca="false">IFERROR(__xludf.dummyfunction("""COMPUTED_VALUE"""),1365080)</f>
        <v>1365080</v>
      </c>
      <c r="N72" s="70" t="n">
        <f aca="false">IFERROR(__xludf.dummyfunction("""COMPUTED_VALUE"""),375570)</f>
        <v>375570</v>
      </c>
      <c r="O72" s="70" t="n">
        <f aca="false">IFERROR(__xludf.dummyfunction("""COMPUTED_VALUE"""),402625)</f>
        <v>402625</v>
      </c>
      <c r="P72" s="70" t="n">
        <f aca="false">IFERROR(__xludf.dummyfunction("""COMPUTED_VALUE"""),2100028)</f>
        <v>2100028</v>
      </c>
      <c r="Q72" s="70" t="n">
        <f aca="false">IFERROR(__xludf.dummyfunction("""COMPUTED_VALUE"""),1921964)</f>
        <v>1921964</v>
      </c>
      <c r="R72" s="70" t="n">
        <f aca="false">IFERROR(__xludf.dummyfunction("""COMPUTED_VALUE"""),941608)</f>
        <v>941608</v>
      </c>
      <c r="S72" s="70" t="n">
        <f aca="false">IFERROR(__xludf.dummyfunction("""COMPUTED_VALUE"""),829961)</f>
        <v>829961</v>
      </c>
      <c r="T72" s="70" t="n">
        <f aca="false">IFERROR(__xludf.dummyfunction("""COMPUTED_VALUE"""),729289)</f>
        <v>729289</v>
      </c>
      <c r="U72" s="70" t="n">
        <f aca="false">IFERROR(__xludf.dummyfunction("""COMPUTED_VALUE"""),117048)</f>
        <v>117048</v>
      </c>
      <c r="V72" s="70" t="n">
        <f aca="false">IFERROR(__xludf.dummyfunction("""COMPUTED_VALUE"""),8641)</f>
        <v>8641</v>
      </c>
      <c r="W72" s="70" t="n">
        <f aca="false">IFERROR(__xludf.dummyfunction("""COMPUTED_VALUE"""),889167)</f>
        <v>889167</v>
      </c>
      <c r="X72" s="70" t="n">
        <f aca="false">IFERROR(__xludf.dummyfunction("""COMPUTED_VALUE"""),404030)</f>
        <v>404030</v>
      </c>
      <c r="Y72" s="70" t="n">
        <f aca="false">IFERROR(__xludf.dummyfunction("""COMPUTED_VALUE"""),2296260)</f>
        <v>2296260</v>
      </c>
      <c r="Z72" s="70" t="n">
        <f aca="false">IFERROR(__xludf.dummyfunction("""COMPUTED_VALUE"""),864850)</f>
        <v>864850</v>
      </c>
      <c r="AA72" s="70" t="n">
        <f aca="false">IFERROR(__xludf.dummyfunction("""COMPUTED_VALUE"""),149858)</f>
        <v>149858</v>
      </c>
      <c r="AB72" s="70" t="n">
        <f aca="false">IFERROR(__xludf.dummyfunction("""COMPUTED_VALUE"""),1128742)</f>
        <v>1128742</v>
      </c>
      <c r="AC72" s="70" t="n">
        <f aca="false">IFERROR(__xludf.dummyfunction("""COMPUTED_VALUE"""),306531)</f>
        <v>306531</v>
      </c>
      <c r="AD72" s="70" t="n">
        <f aca="false">IFERROR(__xludf.dummyfunction("""COMPUTED_VALUE"""),436250)</f>
        <v>436250</v>
      </c>
      <c r="AE72" s="70" t="n">
        <f aca="false">IFERROR(__xludf.dummyfunction("""COMPUTED_VALUE"""),775872)</f>
        <v>775872</v>
      </c>
      <c r="AF72" s="70" t="n">
        <f aca="false">IFERROR(__xludf.dummyfunction("""COMPUTED_VALUE"""),37292)</f>
        <v>37292</v>
      </c>
      <c r="AG72" s="70" t="n">
        <f aca="false">IFERROR(__xludf.dummyfunction("""COMPUTED_VALUE"""),824772)</f>
        <v>824772</v>
      </c>
      <c r="AH72" s="70" t="n">
        <f aca="false">IFERROR(__xludf.dummyfunction("""COMPUTED_VALUE"""),73761)</f>
        <v>73761</v>
      </c>
      <c r="AI72" s="70" t="n">
        <f aca="false">IFERROR(__xludf.dummyfunction("""COMPUTED_VALUE"""),2162911)</f>
        <v>2162911</v>
      </c>
      <c r="AJ72" s="70" t="n">
        <f aca="false">IFERROR(__xludf.dummyfunction("""COMPUTED_VALUE"""),858182)</f>
        <v>858182</v>
      </c>
      <c r="AK72" s="70" t="n">
        <f aca="false">IFERROR(__xludf.dummyfunction("""COMPUTED_VALUE"""),49447)</f>
        <v>49447</v>
      </c>
      <c r="AL72" s="70" t="n">
        <f aca="false">IFERROR(__xludf.dummyfunction("""COMPUTED_VALUE"""),2961171)</f>
        <v>2961171</v>
      </c>
      <c r="AM72" s="70" t="n">
        <f aca="false">IFERROR(__xludf.dummyfunction("""COMPUTED_VALUE"""),826717)</f>
        <v>826717</v>
      </c>
      <c r="AN72" s="70" t="n">
        <f aca="false">IFERROR(__xludf.dummyfunction("""COMPUTED_VALUE"""),893175)</f>
        <v>893175</v>
      </c>
      <c r="AO72" s="70" t="n">
        <f aca="false">IFERROR(__xludf.dummyfunction("""COMPUTED_VALUE"""),1377208)</f>
        <v>1377208</v>
      </c>
      <c r="AP72" s="70" t="n">
        <f aca="false">IFERROR(__xludf.dummyfunction("""COMPUTED_VALUE"""),57364)</f>
        <v>57364</v>
      </c>
      <c r="AQ72" s="70" t="n">
        <f aca="false">IFERROR(__xludf.dummyfunction("""COMPUTED_VALUE"""),431836)</f>
        <v>431836</v>
      </c>
      <c r="AR72" s="70" t="n">
        <f aca="false">IFERROR(__xludf.dummyfunction("""COMPUTED_VALUE"""),95536)</f>
        <v>95536</v>
      </c>
      <c r="AS72" s="70" t="n">
        <f aca="false">IFERROR(__xludf.dummyfunction("""COMPUTED_VALUE"""),1382705)</f>
        <v>1382705</v>
      </c>
      <c r="AT72" s="70" t="n">
        <f aca="false">IFERROR(__xludf.dummyfunction("""COMPUTED_VALUE"""),5732067)</f>
        <v>5732067</v>
      </c>
      <c r="AU72" s="70" t="n">
        <f aca="false">IFERROR(__xludf.dummyfunction("""COMPUTED_VALUE"""),430872)</f>
        <v>430872</v>
      </c>
      <c r="AV72" s="70" t="n">
        <f aca="false">IFERROR(__xludf.dummyfunction("""COMPUTED_VALUE"""),9431)</f>
        <v>9431</v>
      </c>
      <c r="AW72" s="70" t="n">
        <f aca="false">IFERROR(__xludf.dummyfunction("""COMPUTED_VALUE"""),1010218)</f>
        <v>1010218</v>
      </c>
      <c r="AX72" s="70" t="n">
        <f aca="false">IFERROR(__xludf.dummyfunction("""COMPUTED_VALUE"""),1885011)</f>
        <v>1885011</v>
      </c>
      <c r="AY72" s="70" t="n">
        <f aca="false">IFERROR(__xludf.dummyfunction("""COMPUTED_VALUE"""),86866)</f>
        <v>86866</v>
      </c>
      <c r="AZ72" s="70" t="n">
        <f aca="false">IFERROR(__xludf.dummyfunction("""COMPUTED_VALUE"""),430578)</f>
        <v>430578</v>
      </c>
      <c r="BA72" s="70" t="n">
        <f aca="false">IFERROR(__xludf.dummyfunction("""COMPUTED_VALUE"""),152085)</f>
        <v>152085</v>
      </c>
    </row>
    <row r="73" customFormat="false" ht="15.75" hidden="false" customHeight="false" outlineLevel="0" collapsed="false">
      <c r="A73" s="78" t="str">
        <f aca="false">IFERROR(__xludf.dummyfunction("""COMPUTED_VALUE"""),"plumbing_fixtures_count")</f>
        <v>plumbing_fixtures_count</v>
      </c>
      <c r="B73" s="72" t="n">
        <f aca="false">IFERROR(__xludf.dummyfunction("""COMPUTED_VALUE"""),23906314)</f>
        <v>23906314</v>
      </c>
      <c r="C73" s="73" t="n">
        <f aca="false">IFERROR(__xludf.dummyfunction("""COMPUTED_VALUE"""),625130)</f>
        <v>625130</v>
      </c>
      <c r="D73" s="70" t="n">
        <f aca="false">IFERROR(__xludf.dummyfunction("""COMPUTED_VALUE"""),82676)</f>
        <v>82676</v>
      </c>
      <c r="E73" s="70" t="n">
        <f aca="false">IFERROR(__xludf.dummyfunction("""COMPUTED_VALUE"""),1700432)</f>
        <v>1700432</v>
      </c>
      <c r="F73" s="70" t="n">
        <f aca="false">IFERROR(__xludf.dummyfunction("""COMPUTED_VALUE"""),3034)</f>
        <v>3034</v>
      </c>
      <c r="G73" s="70" t="n">
        <f aca="false">IFERROR(__xludf.dummyfunction("""COMPUTED_VALUE"""),0)</f>
        <v>0</v>
      </c>
      <c r="H73" s="70" t="n">
        <f aca="false">IFERROR(__xludf.dummyfunction("""COMPUTED_VALUE"""),947835)</f>
        <v>947835</v>
      </c>
      <c r="I73" s="70" t="n">
        <f aca="false">IFERROR(__xludf.dummyfunction("""COMPUTED_VALUE"""),0)</f>
        <v>0</v>
      </c>
      <c r="J73" s="70" t="n">
        <f aca="false">IFERROR(__xludf.dummyfunction("""COMPUTED_VALUE"""),386298)</f>
        <v>386298</v>
      </c>
      <c r="K73" s="70" t="n">
        <f aca="false">IFERROR(__xludf.dummyfunction("""COMPUTED_VALUE"""),0)</f>
        <v>0</v>
      </c>
      <c r="L73" s="70" t="n">
        <f aca="false">IFERROR(__xludf.dummyfunction("""COMPUTED_VALUE"""),1007124)</f>
        <v>1007124</v>
      </c>
      <c r="M73" s="70" t="n">
        <f aca="false">IFERROR(__xludf.dummyfunction("""COMPUTED_VALUE"""),1015509)</f>
        <v>1015509</v>
      </c>
      <c r="N73" s="70" t="n">
        <f aca="false">IFERROR(__xludf.dummyfunction("""COMPUTED_VALUE"""),640706)</f>
        <v>640706</v>
      </c>
      <c r="O73" s="70" t="n">
        <f aca="false">IFERROR(__xludf.dummyfunction("""COMPUTED_VALUE"""),105241)</f>
        <v>105241</v>
      </c>
      <c r="P73" s="70" t="n">
        <f aca="false">IFERROR(__xludf.dummyfunction("""COMPUTED_VALUE"""),646659)</f>
        <v>646659</v>
      </c>
      <c r="Q73" s="70" t="n">
        <f aca="false">IFERROR(__xludf.dummyfunction("""COMPUTED_VALUE"""),2176973)</f>
        <v>2176973</v>
      </c>
      <c r="R73" s="70" t="n">
        <f aca="false">IFERROR(__xludf.dummyfunction("""COMPUTED_VALUE"""),74839)</f>
        <v>74839</v>
      </c>
      <c r="S73" s="70" t="n">
        <f aca="false">IFERROR(__xludf.dummyfunction("""COMPUTED_VALUE"""),850309)</f>
        <v>850309</v>
      </c>
      <c r="T73" s="70" t="n">
        <f aca="false">IFERROR(__xludf.dummyfunction("""COMPUTED_VALUE"""),97278)</f>
        <v>97278</v>
      </c>
      <c r="U73" s="70" t="n">
        <f aca="false">IFERROR(__xludf.dummyfunction("""COMPUTED_VALUE"""),1824)</f>
        <v>1824</v>
      </c>
      <c r="V73" s="70" t="n">
        <f aca="false">IFERROR(__xludf.dummyfunction("""COMPUTED_VALUE"""),0)</f>
        <v>0</v>
      </c>
      <c r="W73" s="70" t="n">
        <f aca="false">IFERROR(__xludf.dummyfunction("""COMPUTED_VALUE"""),0)</f>
        <v>0</v>
      </c>
      <c r="X73" s="70" t="n">
        <f aca="false">IFERROR(__xludf.dummyfunction("""COMPUTED_VALUE"""),0)</f>
        <v>0</v>
      </c>
      <c r="Y73" s="70" t="n">
        <f aca="false">IFERROR(__xludf.dummyfunction("""COMPUTED_VALUE"""),935837)</f>
        <v>935837</v>
      </c>
      <c r="Z73" s="70" t="n">
        <f aca="false">IFERROR(__xludf.dummyfunction("""COMPUTED_VALUE"""),375049)</f>
        <v>375049</v>
      </c>
      <c r="AA73" s="70" t="n">
        <f aca="false">IFERROR(__xludf.dummyfunction("""COMPUTED_VALUE"""),132148)</f>
        <v>132148</v>
      </c>
      <c r="AB73" s="70" t="n">
        <f aca="false">IFERROR(__xludf.dummyfunction("""COMPUTED_VALUE"""),877178)</f>
        <v>877178</v>
      </c>
      <c r="AC73" s="70" t="n">
        <f aca="false">IFERROR(__xludf.dummyfunction("""COMPUTED_VALUE"""),273055)</f>
        <v>273055</v>
      </c>
      <c r="AD73" s="70" t="n">
        <f aca="false">IFERROR(__xludf.dummyfunction("""COMPUTED_VALUE"""),568574)</f>
        <v>568574</v>
      </c>
      <c r="AE73" s="70" t="n">
        <f aca="false">IFERROR(__xludf.dummyfunction("""COMPUTED_VALUE"""),885748)</f>
        <v>885748</v>
      </c>
      <c r="AF73" s="70" t="n">
        <f aca="false">IFERROR(__xludf.dummyfunction("""COMPUTED_VALUE"""),0)</f>
        <v>0</v>
      </c>
      <c r="AG73" s="70" t="n">
        <f aca="false">IFERROR(__xludf.dummyfunction("""COMPUTED_VALUE"""),0)</f>
        <v>0</v>
      </c>
      <c r="AH73" s="70" t="n">
        <f aca="false">IFERROR(__xludf.dummyfunction("""COMPUTED_VALUE"""),190601)</f>
        <v>190601</v>
      </c>
      <c r="AI73" s="70" t="n">
        <f aca="false">IFERROR(__xludf.dummyfunction("""COMPUTED_VALUE"""),108909)</f>
        <v>108909</v>
      </c>
      <c r="AJ73" s="70" t="n">
        <f aca="false">IFERROR(__xludf.dummyfunction("""COMPUTED_VALUE"""),721038)</f>
        <v>721038</v>
      </c>
      <c r="AK73" s="70" t="n">
        <f aca="false">IFERROR(__xludf.dummyfunction("""COMPUTED_VALUE"""),4217)</f>
        <v>4217</v>
      </c>
      <c r="AL73" s="70" t="n">
        <f aca="false">IFERROR(__xludf.dummyfunction("""COMPUTED_VALUE"""),1962032)</f>
        <v>1962032</v>
      </c>
      <c r="AM73" s="70" t="n">
        <f aca="false">IFERROR(__xludf.dummyfunction("""COMPUTED_VALUE"""),103195)</f>
        <v>103195</v>
      </c>
      <c r="AN73" s="70" t="n">
        <f aca="false">IFERROR(__xludf.dummyfunction("""COMPUTED_VALUE"""),432176)</f>
        <v>432176</v>
      </c>
      <c r="AO73" s="70" t="n">
        <f aca="false">IFERROR(__xludf.dummyfunction("""COMPUTED_VALUE"""),506579)</f>
        <v>506579</v>
      </c>
      <c r="AP73" s="70" t="n">
        <f aca="false">IFERROR(__xludf.dummyfunction("""COMPUTED_VALUE"""),0)</f>
        <v>0</v>
      </c>
      <c r="AQ73" s="70" t="n">
        <f aca="false">IFERROR(__xludf.dummyfunction("""COMPUTED_VALUE"""),348314)</f>
        <v>348314</v>
      </c>
      <c r="AR73" s="70" t="n">
        <f aca="false">IFERROR(__xludf.dummyfunction("""COMPUTED_VALUE"""),102723)</f>
        <v>102723</v>
      </c>
      <c r="AS73" s="70" t="n">
        <f aca="false">IFERROR(__xludf.dummyfunction("""COMPUTED_VALUE"""),2440946)</f>
        <v>2440946</v>
      </c>
      <c r="AT73" s="70" t="n">
        <f aca="false">IFERROR(__xludf.dummyfunction("""COMPUTED_VALUE"""),670954)</f>
        <v>670954</v>
      </c>
      <c r="AU73" s="70" t="n">
        <f aca="false">IFERROR(__xludf.dummyfunction("""COMPUTED_VALUE"""),0)</f>
        <v>0</v>
      </c>
      <c r="AV73" s="70" t="n">
        <f aca="false">IFERROR(__xludf.dummyfunction("""COMPUTED_VALUE"""),0)</f>
        <v>0</v>
      </c>
      <c r="AW73" s="70" t="n">
        <f aca="false">IFERROR(__xludf.dummyfunction("""COMPUTED_VALUE"""),329109)</f>
        <v>329109</v>
      </c>
      <c r="AX73" s="70" t="n">
        <f aca="false">IFERROR(__xludf.dummyfunction("""COMPUTED_VALUE"""),814387)</f>
        <v>814387</v>
      </c>
      <c r="AY73" s="70" t="n">
        <f aca="false">IFERROR(__xludf.dummyfunction("""COMPUTED_VALUE"""),665435)</f>
        <v>665435</v>
      </c>
      <c r="AZ73" s="70" t="n">
        <f aca="false">IFERROR(__xludf.dummyfunction("""COMPUTED_VALUE"""),36816)</f>
        <v>36816</v>
      </c>
      <c r="BA73" s="70" t="n">
        <f aca="false">IFERROR(__xludf.dummyfunction("""COMPUTED_VALUE"""),59427)</f>
        <v>59427</v>
      </c>
    </row>
    <row r="74" customFormat="false" ht="15.75" hidden="false" customHeight="false" outlineLevel="0" collapsed="false">
      <c r="A74" s="78" t="str">
        <f aca="false">IFERROR(__xludf.dummyfunction("""COMPUTED_VALUE"""),"pool_type")</f>
        <v>pool_type</v>
      </c>
      <c r="B74" s="72" t="n">
        <f aca="false">IFERROR(__xludf.dummyfunction("""COMPUTED_VALUE"""),7123329)</f>
        <v>7123329</v>
      </c>
      <c r="C74" s="73" t="n">
        <f aca="false">IFERROR(__xludf.dummyfunction("""COMPUTED_VALUE"""),119738)</f>
        <v>119738</v>
      </c>
      <c r="D74" s="70" t="n">
        <f aca="false">IFERROR(__xludf.dummyfunction("""COMPUTED_VALUE"""),12803)</f>
        <v>12803</v>
      </c>
      <c r="E74" s="70" t="n">
        <f aca="false">IFERROR(__xludf.dummyfunction("""COMPUTED_VALUE"""),472638)</f>
        <v>472638</v>
      </c>
      <c r="F74" s="70" t="n">
        <f aca="false">IFERROR(__xludf.dummyfunction("""COMPUTED_VALUE"""),76531)</f>
        <v>76531</v>
      </c>
      <c r="G74" s="70" t="n">
        <f aca="false">IFERROR(__xludf.dummyfunction("""COMPUTED_VALUE"""),1422810)</f>
        <v>1422810</v>
      </c>
      <c r="H74" s="70" t="n">
        <f aca="false">IFERROR(__xludf.dummyfunction("""COMPUTED_VALUE"""),66096)</f>
        <v>66096</v>
      </c>
      <c r="I74" s="70" t="n">
        <f aca="false">IFERROR(__xludf.dummyfunction("""COMPUTED_VALUE"""),116378)</f>
        <v>116378</v>
      </c>
      <c r="J74" s="70" t="n">
        <f aca="false">IFERROR(__xludf.dummyfunction("""COMPUTED_VALUE"""),11153)</f>
        <v>11153</v>
      </c>
      <c r="K74" s="70" t="n">
        <f aca="false">IFERROR(__xludf.dummyfunction("""COMPUTED_VALUE"""),0)</f>
        <v>0</v>
      </c>
      <c r="L74" s="70" t="n">
        <f aca="false">IFERROR(__xludf.dummyfunction("""COMPUTED_VALUE"""),1558437)</f>
        <v>1558437</v>
      </c>
      <c r="M74" s="70" t="n">
        <f aca="false">IFERROR(__xludf.dummyfunction("""COMPUTED_VALUE"""),275102)</f>
        <v>275102</v>
      </c>
      <c r="N74" s="70" t="n">
        <f aca="false">IFERROR(__xludf.dummyfunction("""COMPUTED_VALUE"""),92461)</f>
        <v>92461</v>
      </c>
      <c r="O74" s="70" t="n">
        <f aca="false">IFERROR(__xludf.dummyfunction("""COMPUTED_VALUE"""),8695)</f>
        <v>8695</v>
      </c>
      <c r="P74" s="70" t="n">
        <f aca="false">IFERROR(__xludf.dummyfunction("""COMPUTED_VALUE"""),22697)</f>
        <v>22697</v>
      </c>
      <c r="Q74" s="70" t="n">
        <f aca="false">IFERROR(__xludf.dummyfunction("""COMPUTED_VALUE"""),199959)</f>
        <v>199959</v>
      </c>
      <c r="R74" s="70" t="n">
        <f aca="false">IFERROR(__xludf.dummyfunction("""COMPUTED_VALUE"""),16421)</f>
        <v>16421</v>
      </c>
      <c r="S74" s="70" t="n">
        <f aca="false">IFERROR(__xludf.dummyfunction("""COMPUTED_VALUE"""),25422)</f>
        <v>25422</v>
      </c>
      <c r="T74" s="70" t="n">
        <f aca="false">IFERROR(__xludf.dummyfunction("""COMPUTED_VALUE"""),63895)</f>
        <v>63895</v>
      </c>
      <c r="U74" s="70" t="n">
        <f aca="false">IFERROR(__xludf.dummyfunction("""COMPUTED_VALUE"""),10779)</f>
        <v>10779</v>
      </c>
      <c r="V74" s="70" t="n">
        <f aca="false">IFERROR(__xludf.dummyfunction("""COMPUTED_VALUE"""),9315)</f>
        <v>9315</v>
      </c>
      <c r="W74" s="70" t="n">
        <f aca="false">IFERROR(__xludf.dummyfunction("""COMPUTED_VALUE"""),118392)</f>
        <v>118392</v>
      </c>
      <c r="X74" s="70" t="n">
        <f aca="false">IFERROR(__xludf.dummyfunction("""COMPUTED_VALUE"""),88130)</f>
        <v>88130</v>
      </c>
      <c r="Y74" s="70" t="n">
        <f aca="false">IFERROR(__xludf.dummyfunction("""COMPUTED_VALUE"""),84332)</f>
        <v>84332</v>
      </c>
      <c r="Z74" s="70" t="n">
        <f aca="false">IFERROR(__xludf.dummyfunction("""COMPUTED_VALUE"""),64921)</f>
        <v>64921</v>
      </c>
      <c r="AA74" s="70" t="n">
        <f aca="false">IFERROR(__xludf.dummyfunction("""COMPUTED_VALUE"""),42262)</f>
        <v>42262</v>
      </c>
      <c r="AB74" s="70" t="n">
        <f aca="false">IFERROR(__xludf.dummyfunction("""COMPUTED_VALUE"""),44963)</f>
        <v>44963</v>
      </c>
      <c r="AC74" s="70" t="n">
        <f aca="false">IFERROR(__xludf.dummyfunction("""COMPUTED_VALUE"""),4816)</f>
        <v>4816</v>
      </c>
      <c r="AD74" s="70" t="n">
        <f aca="false">IFERROR(__xludf.dummyfunction("""COMPUTED_VALUE"""),8709)</f>
        <v>8709</v>
      </c>
      <c r="AE74" s="70" t="n">
        <f aca="false">IFERROR(__xludf.dummyfunction("""COMPUTED_VALUE"""),130177)</f>
        <v>130177</v>
      </c>
      <c r="AF74" s="70" t="n">
        <f aca="false">IFERROR(__xludf.dummyfunction("""COMPUTED_VALUE"""),25454)</f>
        <v>25454</v>
      </c>
      <c r="AG74" s="70" t="n">
        <f aca="false">IFERROR(__xludf.dummyfunction("""COMPUTED_VALUE"""),15833)</f>
        <v>15833</v>
      </c>
      <c r="AH74" s="70" t="n">
        <f aca="false">IFERROR(__xludf.dummyfunction("""COMPUTED_VALUE"""),3745)</f>
        <v>3745</v>
      </c>
      <c r="AI74" s="70" t="n">
        <f aca="false">IFERROR(__xludf.dummyfunction("""COMPUTED_VALUE"""),344063)</f>
        <v>344063</v>
      </c>
      <c r="AJ74" s="70" t="n">
        <f aca="false">IFERROR(__xludf.dummyfunction("""COMPUTED_VALUE"""),100393)</f>
        <v>100393</v>
      </c>
      <c r="AK74" s="70" t="n">
        <f aca="false">IFERROR(__xludf.dummyfunction("""COMPUTED_VALUE"""),344)</f>
        <v>344</v>
      </c>
      <c r="AL74" s="70" t="n">
        <f aca="false">IFERROR(__xludf.dummyfunction("""COMPUTED_VALUE"""),126826)</f>
        <v>126826</v>
      </c>
      <c r="AM74" s="70" t="n">
        <f aca="false">IFERROR(__xludf.dummyfunction("""COMPUTED_VALUE"""),112298)</f>
        <v>112298</v>
      </c>
      <c r="AN74" s="70" t="n">
        <f aca="false">IFERROR(__xludf.dummyfunction("""COMPUTED_VALUE"""),27602)</f>
        <v>27602</v>
      </c>
      <c r="AO74" s="70" t="n">
        <f aca="false">IFERROR(__xludf.dummyfunction("""COMPUTED_VALUE"""),139562)</f>
        <v>139562</v>
      </c>
      <c r="AP74" s="70" t="n">
        <f aca="false">IFERROR(__xludf.dummyfunction("""COMPUTED_VALUE"""),20394)</f>
        <v>20394</v>
      </c>
      <c r="AQ74" s="70" t="n">
        <f aca="false">IFERROR(__xludf.dummyfunction("""COMPUTED_VALUE"""),59446)</f>
        <v>59446</v>
      </c>
      <c r="AR74" s="70" t="n">
        <f aca="false">IFERROR(__xludf.dummyfunction("""COMPUTED_VALUE"""),2309)</f>
        <v>2309</v>
      </c>
      <c r="AS74" s="70" t="n">
        <f aca="false">IFERROR(__xludf.dummyfunction("""COMPUTED_VALUE"""),124791)</f>
        <v>124791</v>
      </c>
      <c r="AT74" s="70" t="n">
        <f aca="false">IFERROR(__xludf.dummyfunction("""COMPUTED_VALUE"""),643394)</f>
        <v>643394</v>
      </c>
      <c r="AU74" s="70" t="n">
        <f aca="false">IFERROR(__xludf.dummyfunction("""COMPUTED_VALUE"""),16495)</f>
        <v>16495</v>
      </c>
      <c r="AV74" s="70" t="n">
        <f aca="false">IFERROR(__xludf.dummyfunction("""COMPUTED_VALUE"""),2284)</f>
        <v>2284</v>
      </c>
      <c r="AW74" s="70" t="n">
        <f aca="false">IFERROR(__xludf.dummyfunction("""COMPUTED_VALUE"""),100655)</f>
        <v>100655</v>
      </c>
      <c r="AX74" s="70" t="n">
        <f aca="false">IFERROR(__xludf.dummyfunction("""COMPUTED_VALUE"""),48671)</f>
        <v>48671</v>
      </c>
      <c r="AY74" s="70" t="n">
        <f aca="false">IFERROR(__xludf.dummyfunction("""COMPUTED_VALUE"""),4826)</f>
        <v>4826</v>
      </c>
      <c r="AZ74" s="70" t="n">
        <f aca="false">IFERROR(__xludf.dummyfunction("""COMPUTED_VALUE"""),30404)</f>
        <v>30404</v>
      </c>
      <c r="BA74" s="70" t="n">
        <f aca="false">IFERROR(__xludf.dummyfunction("""COMPUTED_VALUE"""),5508)</f>
        <v>5508</v>
      </c>
    </row>
    <row r="75" customFormat="false" ht="15.75" hidden="false" customHeight="false" outlineLevel="0" collapsed="false">
      <c r="A75" s="78" t="str">
        <f aca="false">IFERROR(__xludf.dummyfunction("""COMPUTED_VALUE"""),"quality")</f>
        <v>quality</v>
      </c>
      <c r="B75" s="72" t="n">
        <f aca="false">IFERROR(__xludf.dummyfunction("""COMPUTED_VALUE"""),51027740)</f>
        <v>51027740</v>
      </c>
      <c r="C75" s="73" t="n">
        <f aca="false">IFERROR(__xludf.dummyfunction("""COMPUTED_VALUE"""),750119)</f>
        <v>750119</v>
      </c>
      <c r="D75" s="70" t="n">
        <f aca="false">IFERROR(__xludf.dummyfunction("""COMPUTED_VALUE"""),5375)</f>
        <v>5375</v>
      </c>
      <c r="E75" s="70" t="n">
        <f aca="false">IFERROR(__xludf.dummyfunction("""COMPUTED_VALUE"""),889582)</f>
        <v>889582</v>
      </c>
      <c r="F75" s="70" t="n">
        <f aca="false">IFERROR(__xludf.dummyfunction("""COMPUTED_VALUE"""),1124616)</f>
        <v>1124616</v>
      </c>
      <c r="G75" s="70" t="n">
        <f aca="false">IFERROR(__xludf.dummyfunction("""COMPUTED_VALUE"""),6728520)</f>
        <v>6728520</v>
      </c>
      <c r="H75" s="70" t="n">
        <f aca="false">IFERROR(__xludf.dummyfunction("""COMPUTED_VALUE"""),1754181)</f>
        <v>1754181</v>
      </c>
      <c r="I75" s="70" t="n">
        <f aca="false">IFERROR(__xludf.dummyfunction("""COMPUTED_VALUE"""),0)</f>
        <v>0</v>
      </c>
      <c r="J75" s="70" t="n">
        <f aca="false">IFERROR(__xludf.dummyfunction("""COMPUTED_VALUE"""),385887)</f>
        <v>385887</v>
      </c>
      <c r="K75" s="70" t="n">
        <f aca="false">IFERROR(__xludf.dummyfunction("""COMPUTED_VALUE"""),118650)</f>
        <v>118650</v>
      </c>
      <c r="L75" s="70" t="n">
        <f aca="false">IFERROR(__xludf.dummyfunction("""COMPUTED_VALUE"""),5761915)</f>
        <v>5761915</v>
      </c>
      <c r="M75" s="70" t="n">
        <f aca="false">IFERROR(__xludf.dummyfunction("""COMPUTED_VALUE"""),1269042)</f>
        <v>1269042</v>
      </c>
      <c r="N75" s="70" t="n">
        <f aca="false">IFERROR(__xludf.dummyfunction("""COMPUTED_VALUE"""),468405)</f>
        <v>468405</v>
      </c>
      <c r="O75" s="70" t="n">
        <f aca="false">IFERROR(__xludf.dummyfunction("""COMPUTED_VALUE"""),255762)</f>
        <v>255762</v>
      </c>
      <c r="P75" s="70" t="n">
        <f aca="false">IFERROR(__xludf.dummyfunction("""COMPUTED_VALUE"""),644249)</f>
        <v>644249</v>
      </c>
      <c r="Q75" s="70" t="n">
        <f aca="false">IFERROR(__xludf.dummyfunction("""COMPUTED_VALUE"""),2314248)</f>
        <v>2314248</v>
      </c>
      <c r="R75" s="70" t="n">
        <f aca="false">IFERROR(__xludf.dummyfunction("""COMPUTED_VALUE"""),101844)</f>
        <v>101844</v>
      </c>
      <c r="S75" s="70" t="n">
        <f aca="false">IFERROR(__xludf.dummyfunction("""COMPUTED_VALUE"""),1018107)</f>
        <v>1018107</v>
      </c>
      <c r="T75" s="70" t="n">
        <f aca="false">IFERROR(__xludf.dummyfunction("""COMPUTED_VALUE"""),635648)</f>
        <v>635648</v>
      </c>
      <c r="U75" s="70" t="n">
        <f aca="false">IFERROR(__xludf.dummyfunction("""COMPUTED_VALUE"""),290334)</f>
        <v>290334</v>
      </c>
      <c r="V75" s="70" t="n">
        <f aca="false">IFERROR(__xludf.dummyfunction("""COMPUTED_VALUE"""),0)</f>
        <v>0</v>
      </c>
      <c r="W75" s="70" t="n">
        <f aca="false">IFERROR(__xludf.dummyfunction("""COMPUTED_VALUE"""),1911095)</f>
        <v>1911095</v>
      </c>
      <c r="X75" s="70" t="n">
        <f aca="false">IFERROR(__xludf.dummyfunction("""COMPUTED_VALUE"""),0)</f>
        <v>0</v>
      </c>
      <c r="Y75" s="70" t="n">
        <f aca="false">IFERROR(__xludf.dummyfunction("""COMPUTED_VALUE"""),1515169)</f>
        <v>1515169</v>
      </c>
      <c r="Z75" s="70" t="n">
        <f aca="false">IFERROR(__xludf.dummyfunction("""COMPUTED_VALUE"""),354380)</f>
        <v>354380</v>
      </c>
      <c r="AA75" s="70" t="n">
        <f aca="false">IFERROR(__xludf.dummyfunction("""COMPUTED_VALUE"""),303827)</f>
        <v>303827</v>
      </c>
      <c r="AB75" s="70" t="n">
        <f aca="false">IFERROR(__xludf.dummyfunction("""COMPUTED_VALUE"""),915644)</f>
        <v>915644</v>
      </c>
      <c r="AC75" s="70" t="n">
        <f aca="false">IFERROR(__xludf.dummyfunction("""COMPUTED_VALUE"""),423653)</f>
        <v>423653</v>
      </c>
      <c r="AD75" s="70" t="n">
        <f aca="false">IFERROR(__xludf.dummyfunction("""COMPUTED_VALUE"""),534445)</f>
        <v>534445</v>
      </c>
      <c r="AE75" s="70" t="n">
        <f aca="false">IFERROR(__xludf.dummyfunction("""COMPUTED_VALUE"""),149833)</f>
        <v>149833</v>
      </c>
      <c r="AF75" s="70" t="n">
        <f aca="false">IFERROR(__xludf.dummyfunction("""COMPUTED_VALUE"""),2777)</f>
        <v>2777</v>
      </c>
      <c r="AG75" s="70" t="n">
        <f aca="false">IFERROR(__xludf.dummyfunction("""COMPUTED_VALUE"""),0)</f>
        <v>0</v>
      </c>
      <c r="AH75" s="70" t="n">
        <f aca="false">IFERROR(__xludf.dummyfunction("""COMPUTED_VALUE"""),38330)</f>
        <v>38330</v>
      </c>
      <c r="AI75" s="70" t="n">
        <f aca="false">IFERROR(__xludf.dummyfunction("""COMPUTED_VALUE"""),3260853)</f>
        <v>3260853</v>
      </c>
      <c r="AJ75" s="70" t="n">
        <f aca="false">IFERROR(__xludf.dummyfunction("""COMPUTED_VALUE"""),2306328)</f>
        <v>2306328</v>
      </c>
      <c r="AK75" s="70" t="n">
        <f aca="false">IFERROR(__xludf.dummyfunction("""COMPUTED_VALUE"""),0)</f>
        <v>0</v>
      </c>
      <c r="AL75" s="70" t="n">
        <f aca="false">IFERROR(__xludf.dummyfunction("""COMPUTED_VALUE"""),3188633)</f>
        <v>3188633</v>
      </c>
      <c r="AM75" s="70" t="n">
        <f aca="false">IFERROR(__xludf.dummyfunction("""COMPUTED_VALUE"""),1024557)</f>
        <v>1024557</v>
      </c>
      <c r="AN75" s="70" t="n">
        <f aca="false">IFERROR(__xludf.dummyfunction("""COMPUTED_VALUE"""),151882)</f>
        <v>151882</v>
      </c>
      <c r="AO75" s="70" t="n">
        <f aca="false">IFERROR(__xludf.dummyfunction("""COMPUTED_VALUE"""),974608)</f>
        <v>974608</v>
      </c>
      <c r="AP75" s="70" t="n">
        <f aca="false">IFERROR(__xludf.dummyfunction("""COMPUTED_VALUE"""),0)</f>
        <v>0</v>
      </c>
      <c r="AQ75" s="70" t="n">
        <f aca="false">IFERROR(__xludf.dummyfunction("""COMPUTED_VALUE"""),777620)</f>
        <v>777620</v>
      </c>
      <c r="AR75" s="70" t="n">
        <f aca="false">IFERROR(__xludf.dummyfunction("""COMPUTED_VALUE"""),124126)</f>
        <v>124126</v>
      </c>
      <c r="AS75" s="70" t="n">
        <f aca="false">IFERROR(__xludf.dummyfunction("""COMPUTED_VALUE"""),2637791)</f>
        <v>2637791</v>
      </c>
      <c r="AT75" s="70" t="n">
        <f aca="false">IFERROR(__xludf.dummyfunction("""COMPUTED_VALUE"""),2063783)</f>
        <v>2063783</v>
      </c>
      <c r="AU75" s="70" t="n">
        <f aca="false">IFERROR(__xludf.dummyfunction("""COMPUTED_VALUE"""),317512)</f>
        <v>317512</v>
      </c>
      <c r="AV75" s="70" t="n">
        <f aca="false">IFERROR(__xludf.dummyfunction("""COMPUTED_VALUE"""),0)</f>
        <v>0</v>
      </c>
      <c r="AW75" s="70" t="n">
        <f aca="false">IFERROR(__xludf.dummyfunction("""COMPUTED_VALUE"""),660641)</f>
        <v>660641</v>
      </c>
      <c r="AX75" s="70" t="n">
        <f aca="false">IFERROR(__xludf.dummyfunction("""COMPUTED_VALUE"""),1817360)</f>
        <v>1817360</v>
      </c>
      <c r="AY75" s="70" t="n">
        <f aca="false">IFERROR(__xludf.dummyfunction("""COMPUTED_VALUE"""),656938)</f>
        <v>656938</v>
      </c>
      <c r="AZ75" s="70" t="n">
        <f aca="false">IFERROR(__xludf.dummyfunction("""COMPUTED_VALUE"""),150905)</f>
        <v>150905</v>
      </c>
      <c r="BA75" s="70" t="n">
        <f aca="false">IFERROR(__xludf.dummyfunction("""COMPUTED_VALUE"""),248566)</f>
        <v>248566</v>
      </c>
    </row>
    <row r="76" customFormat="false" ht="15.75" hidden="false" customHeight="false" outlineLevel="0" collapsed="false">
      <c r="A76" s="78" t="str">
        <f aca="false">IFERROR(__xludf.dummyfunction("""COMPUTED_VALUE"""),"roof_material_type")</f>
        <v>roof_material_type</v>
      </c>
      <c r="B76" s="72" t="n">
        <f aca="false">IFERROR(__xludf.dummyfunction("""COMPUTED_VALUE"""),57884443)</f>
        <v>57884443</v>
      </c>
      <c r="C76" s="73" t="n">
        <f aca="false">IFERROR(__xludf.dummyfunction("""COMPUTED_VALUE"""),1872938)</f>
        <v>1872938</v>
      </c>
      <c r="D76" s="70" t="n">
        <f aca="false">IFERROR(__xludf.dummyfunction("""COMPUTED_VALUE"""),10894)</f>
        <v>10894</v>
      </c>
      <c r="E76" s="70" t="n">
        <f aca="false">IFERROR(__xludf.dummyfunction("""COMPUTED_VALUE"""),2167706)</f>
        <v>2167706</v>
      </c>
      <c r="F76" s="70" t="n">
        <f aca="false">IFERROR(__xludf.dummyfunction("""COMPUTED_VALUE"""),1063827)</f>
        <v>1063827</v>
      </c>
      <c r="G76" s="70" t="n">
        <f aca="false">IFERROR(__xludf.dummyfunction("""COMPUTED_VALUE"""),1819750)</f>
        <v>1819750</v>
      </c>
      <c r="H76" s="70" t="n">
        <f aca="false">IFERROR(__xludf.dummyfunction("""COMPUTED_VALUE"""),1756355)</f>
        <v>1756355</v>
      </c>
      <c r="I76" s="70" t="n">
        <f aca="false">IFERROR(__xludf.dummyfunction("""COMPUTED_VALUE"""),1090361)</f>
        <v>1090361</v>
      </c>
      <c r="J76" s="70" t="n">
        <f aca="false">IFERROR(__xludf.dummyfunction("""COMPUTED_VALUE"""),324374)</f>
        <v>324374</v>
      </c>
      <c r="K76" s="70" t="n">
        <f aca="false">IFERROR(__xludf.dummyfunction("""COMPUTED_VALUE"""),111042)</f>
        <v>111042</v>
      </c>
      <c r="L76" s="70" t="n">
        <f aca="false">IFERROR(__xludf.dummyfunction("""COMPUTED_VALUE"""),5569974)</f>
        <v>5569974</v>
      </c>
      <c r="M76" s="70" t="n">
        <f aca="false">IFERROR(__xludf.dummyfunction("""COMPUTED_VALUE"""),2672224)</f>
        <v>2672224</v>
      </c>
      <c r="N76" s="70" t="n">
        <f aca="false">IFERROR(__xludf.dummyfunction("""COMPUTED_VALUE"""),617561)</f>
        <v>617561</v>
      </c>
      <c r="O76" s="70" t="n">
        <f aca="false">IFERROR(__xludf.dummyfunction("""COMPUTED_VALUE"""),314294)</f>
        <v>314294</v>
      </c>
      <c r="P76" s="70" t="n">
        <f aca="false">IFERROR(__xludf.dummyfunction("""COMPUTED_VALUE"""),1672659)</f>
        <v>1672659</v>
      </c>
      <c r="Q76" s="70" t="n">
        <f aca="false">IFERROR(__xludf.dummyfunction("""COMPUTED_VALUE"""),2274469)</f>
        <v>2274469</v>
      </c>
      <c r="R76" s="70" t="n">
        <f aca="false">IFERROR(__xludf.dummyfunction("""COMPUTED_VALUE"""),1171459)</f>
        <v>1171459</v>
      </c>
      <c r="S76" s="70" t="n">
        <f aca="false">IFERROR(__xludf.dummyfunction("""COMPUTED_VALUE"""),1022130)</f>
        <v>1022130</v>
      </c>
      <c r="T76" s="70" t="n">
        <f aca="false">IFERROR(__xludf.dummyfunction("""COMPUTED_VALUE"""),1143372)</f>
        <v>1143372</v>
      </c>
      <c r="U76" s="70" t="n">
        <f aca="false">IFERROR(__xludf.dummyfunction("""COMPUTED_VALUE"""),150591)</f>
        <v>150591</v>
      </c>
      <c r="V76" s="70" t="n">
        <f aca="false">IFERROR(__xludf.dummyfunction("""COMPUTED_VALUE"""),308997)</f>
        <v>308997</v>
      </c>
      <c r="W76" s="70" t="n">
        <f aca="false">IFERROR(__xludf.dummyfunction("""COMPUTED_VALUE"""),1868228)</f>
        <v>1868228</v>
      </c>
      <c r="X76" s="70" t="n">
        <f aca="false">IFERROR(__xludf.dummyfunction("""COMPUTED_VALUE"""),1859606)</f>
        <v>1859606</v>
      </c>
      <c r="Y76" s="70" t="n">
        <f aca="false">IFERROR(__xludf.dummyfunction("""COMPUTED_VALUE"""),413430)</f>
        <v>413430</v>
      </c>
      <c r="Z76" s="70" t="n">
        <f aca="false">IFERROR(__xludf.dummyfunction("""COMPUTED_VALUE"""),1112707)</f>
        <v>1112707</v>
      </c>
      <c r="AA76" s="70" t="n">
        <f aca="false">IFERROR(__xludf.dummyfunction("""COMPUTED_VALUE"""),922112)</f>
        <v>922112</v>
      </c>
      <c r="AB76" s="70" t="n">
        <f aca="false">IFERROR(__xludf.dummyfunction("""COMPUTED_VALUE"""),863053)</f>
        <v>863053</v>
      </c>
      <c r="AC76" s="70" t="n">
        <f aca="false">IFERROR(__xludf.dummyfunction("""COMPUTED_VALUE"""),425931)</f>
        <v>425931</v>
      </c>
      <c r="AD76" s="70" t="n">
        <f aca="false">IFERROR(__xludf.dummyfunction("""COMPUTED_VALUE"""),634560)</f>
        <v>634560</v>
      </c>
      <c r="AE76" s="70" t="n">
        <f aca="false">IFERROR(__xludf.dummyfunction("""COMPUTED_VALUE"""),899212)</f>
        <v>899212</v>
      </c>
      <c r="AF76" s="70" t="n">
        <f aca="false">IFERROR(__xludf.dummyfunction("""COMPUTED_VALUE"""),541914)</f>
        <v>541914</v>
      </c>
      <c r="AG76" s="70" t="n">
        <f aca="false">IFERROR(__xludf.dummyfunction("""COMPUTED_VALUE"""),215642)</f>
        <v>215642</v>
      </c>
      <c r="AH76" s="70" t="n">
        <f aca="false">IFERROR(__xludf.dummyfunction("""COMPUTED_VALUE"""),305586)</f>
        <v>305586</v>
      </c>
      <c r="AI76" s="70" t="n">
        <f aca="false">IFERROR(__xludf.dummyfunction("""COMPUTED_VALUE"""),354035)</f>
        <v>354035</v>
      </c>
      <c r="AJ76" s="70" t="n">
        <f aca="false">IFERROR(__xludf.dummyfunction("""COMPUTED_VALUE"""),2441414)</f>
        <v>2441414</v>
      </c>
      <c r="AK76" s="70" t="n">
        <f aca="false">IFERROR(__xludf.dummyfunction("""COMPUTED_VALUE"""),28567)</f>
        <v>28567</v>
      </c>
      <c r="AL76" s="70" t="n">
        <f aca="false">IFERROR(__xludf.dummyfunction("""COMPUTED_VALUE"""),935972)</f>
        <v>935972</v>
      </c>
      <c r="AM76" s="70" t="n">
        <f aca="false">IFERROR(__xludf.dummyfunction("""COMPUTED_VALUE"""),1771366)</f>
        <v>1771366</v>
      </c>
      <c r="AN76" s="70" t="n">
        <f aca="false">IFERROR(__xludf.dummyfunction("""COMPUTED_VALUE"""),1126387)</f>
        <v>1126387</v>
      </c>
      <c r="AO76" s="70" t="n">
        <f aca="false">IFERROR(__xludf.dummyfunction("""COMPUTED_VALUE"""),942129)</f>
        <v>942129</v>
      </c>
      <c r="AP76" s="70" t="n">
        <f aca="false">IFERROR(__xludf.dummyfunction("""COMPUTED_VALUE"""),346531)</f>
        <v>346531</v>
      </c>
      <c r="AQ76" s="70" t="n">
        <f aca="false">IFERROR(__xludf.dummyfunction("""COMPUTED_VALUE"""),857424)</f>
        <v>857424</v>
      </c>
      <c r="AR76" s="70" t="n">
        <f aca="false">IFERROR(__xludf.dummyfunction("""COMPUTED_VALUE"""),109136)</f>
        <v>109136</v>
      </c>
      <c r="AS76" s="70" t="n">
        <f aca="false">IFERROR(__xludf.dummyfunction("""COMPUTED_VALUE"""),2437263)</f>
        <v>2437263</v>
      </c>
      <c r="AT76" s="70" t="n">
        <f aca="false">IFERROR(__xludf.dummyfunction("""COMPUTED_VALUE"""),3918947)</f>
        <v>3918947</v>
      </c>
      <c r="AU76" s="70" t="n">
        <f aca="false">IFERROR(__xludf.dummyfunction("""COMPUTED_VALUE"""),775203)</f>
        <v>775203</v>
      </c>
      <c r="AV76" s="70" t="n">
        <f aca="false">IFERROR(__xludf.dummyfunction("""COMPUTED_VALUE"""),77123)</f>
        <v>77123</v>
      </c>
      <c r="AW76" s="70" t="n">
        <f aca="false">IFERROR(__xludf.dummyfunction("""COMPUTED_VALUE"""),2426784)</f>
        <v>2426784</v>
      </c>
      <c r="AX76" s="70" t="n">
        <f aca="false">IFERROR(__xludf.dummyfunction("""COMPUTED_VALUE"""),1701420)</f>
        <v>1701420</v>
      </c>
      <c r="AY76" s="70" t="n">
        <f aca="false">IFERROR(__xludf.dummyfunction("""COMPUTED_VALUE"""),0)</f>
        <v>0</v>
      </c>
      <c r="AZ76" s="70" t="n">
        <f aca="false">IFERROR(__xludf.dummyfunction("""COMPUTED_VALUE"""),193170)</f>
        <v>193170</v>
      </c>
      <c r="BA76" s="70" t="n">
        <f aca="false">IFERROR(__xludf.dummyfunction("""COMPUTED_VALUE"""),244614)</f>
        <v>244614</v>
      </c>
    </row>
    <row r="77" customFormat="false" ht="15.75" hidden="false" customHeight="false" outlineLevel="0" collapsed="false">
      <c r="A77" s="78" t="str">
        <f aca="false">IFERROR(__xludf.dummyfunction("""COMPUTED_VALUE"""),"roof_style_type")</f>
        <v>roof_style_type</v>
      </c>
      <c r="B77" s="72" t="n">
        <f aca="false">IFERROR(__xludf.dummyfunction("""COMPUTED_VALUE"""),34271976)</f>
        <v>34271976</v>
      </c>
      <c r="C77" s="73" t="n">
        <f aca="false">IFERROR(__xludf.dummyfunction("""COMPUTED_VALUE"""),1815237)</f>
        <v>1815237</v>
      </c>
      <c r="D77" s="70" t="n">
        <f aca="false">IFERROR(__xludf.dummyfunction("""COMPUTED_VALUE"""),254)</f>
        <v>254</v>
      </c>
      <c r="E77" s="70" t="n">
        <f aca="false">IFERROR(__xludf.dummyfunction("""COMPUTED_VALUE"""),88027)</f>
        <v>88027</v>
      </c>
      <c r="F77" s="70" t="n">
        <f aca="false">IFERROR(__xludf.dummyfunction("""COMPUTED_VALUE"""),828873)</f>
        <v>828873</v>
      </c>
      <c r="G77" s="70" t="n">
        <f aca="false">IFERROR(__xludf.dummyfunction("""COMPUTED_VALUE"""),1351)</f>
        <v>1351</v>
      </c>
      <c r="H77" s="70" t="n">
        <f aca="false">IFERROR(__xludf.dummyfunction("""COMPUTED_VALUE"""),1299738)</f>
        <v>1299738</v>
      </c>
      <c r="I77" s="70" t="n">
        <f aca="false">IFERROR(__xludf.dummyfunction("""COMPUTED_VALUE"""),1054819)</f>
        <v>1054819</v>
      </c>
      <c r="J77" s="70" t="n">
        <f aca="false">IFERROR(__xludf.dummyfunction("""COMPUTED_VALUE"""),245269)</f>
        <v>245269</v>
      </c>
      <c r="K77" s="70" t="n">
        <f aca="false">IFERROR(__xludf.dummyfunction("""COMPUTED_VALUE"""),3533)</f>
        <v>3533</v>
      </c>
      <c r="L77" s="70" t="n">
        <f aca="false">IFERROR(__xludf.dummyfunction("""COMPUTED_VALUE"""),5277281)</f>
        <v>5277281</v>
      </c>
      <c r="M77" s="70" t="n">
        <f aca="false">IFERROR(__xludf.dummyfunction("""COMPUTED_VALUE"""),2159144)</f>
        <v>2159144</v>
      </c>
      <c r="N77" s="70" t="n">
        <f aca="false">IFERROR(__xludf.dummyfunction("""COMPUTED_VALUE"""),602550)</f>
        <v>602550</v>
      </c>
      <c r="O77" s="70" t="n">
        <f aca="false">IFERROR(__xludf.dummyfunction("""COMPUTED_VALUE"""),179595)</f>
        <v>179595</v>
      </c>
      <c r="P77" s="70" t="n">
        <f aca="false">IFERROR(__xludf.dummyfunction("""COMPUTED_VALUE"""),51322)</f>
        <v>51322</v>
      </c>
      <c r="Q77" s="70" t="n">
        <f aca="false">IFERROR(__xludf.dummyfunction("""COMPUTED_VALUE"""),40)</f>
        <v>40</v>
      </c>
      <c r="R77" s="70" t="n">
        <f aca="false">IFERROR(__xludf.dummyfunction("""COMPUTED_VALUE"""),1135804)</f>
        <v>1135804</v>
      </c>
      <c r="S77" s="70" t="n">
        <f aca="false">IFERROR(__xludf.dummyfunction("""COMPUTED_VALUE"""),3)</f>
        <v>3</v>
      </c>
      <c r="T77" s="70" t="n">
        <f aca="false">IFERROR(__xludf.dummyfunction("""COMPUTED_VALUE"""),978966)</f>
        <v>978966</v>
      </c>
      <c r="U77" s="70" t="n">
        <f aca="false">IFERROR(__xludf.dummyfunction("""COMPUTED_VALUE"""),30467)</f>
        <v>30467</v>
      </c>
      <c r="V77" s="70" t="n">
        <f aca="false">IFERROR(__xludf.dummyfunction("""COMPUTED_VALUE"""),202418)</f>
        <v>202418</v>
      </c>
      <c r="W77" s="70" t="n">
        <f aca="false">IFERROR(__xludf.dummyfunction("""COMPUTED_VALUE"""),30)</f>
        <v>30</v>
      </c>
      <c r="X77" s="70" t="n">
        <f aca="false">IFERROR(__xludf.dummyfunction("""COMPUTED_VALUE"""),1869906)</f>
        <v>1869906</v>
      </c>
      <c r="Y77" s="70" t="n">
        <f aca="false">IFERROR(__xludf.dummyfunction("""COMPUTED_VALUE"""),318090)</f>
        <v>318090</v>
      </c>
      <c r="Z77" s="70" t="n">
        <f aca="false">IFERROR(__xludf.dummyfunction("""COMPUTED_VALUE"""),1001257)</f>
        <v>1001257</v>
      </c>
      <c r="AA77" s="70" t="n">
        <f aca="false">IFERROR(__xludf.dummyfunction("""COMPUTED_VALUE"""),888305)</f>
        <v>888305</v>
      </c>
      <c r="AB77" s="70" t="n">
        <f aca="false">IFERROR(__xludf.dummyfunction("""COMPUTED_VALUE"""),722286)</f>
        <v>722286</v>
      </c>
      <c r="AC77" s="70" t="n">
        <f aca="false">IFERROR(__xludf.dummyfunction("""COMPUTED_VALUE"""),424176)</f>
        <v>424176</v>
      </c>
      <c r="AD77" s="70" t="n">
        <f aca="false">IFERROR(__xludf.dummyfunction("""COMPUTED_VALUE"""),183967)</f>
        <v>183967</v>
      </c>
      <c r="AE77" s="70" t="n">
        <f aca="false">IFERROR(__xludf.dummyfunction("""COMPUTED_VALUE"""),40118)</f>
        <v>40118</v>
      </c>
      <c r="AF77" s="70" t="n">
        <f aca="false">IFERROR(__xludf.dummyfunction("""COMPUTED_VALUE"""),535602)</f>
        <v>535602</v>
      </c>
      <c r="AG77" s="70" t="n">
        <f aca="false">IFERROR(__xludf.dummyfunction("""COMPUTED_VALUE"""),212645)</f>
        <v>212645</v>
      </c>
      <c r="AH77" s="70" t="n">
        <f aca="false">IFERROR(__xludf.dummyfunction("""COMPUTED_VALUE"""),220277)</f>
        <v>220277</v>
      </c>
      <c r="AI77" s="70" t="n">
        <f aca="false">IFERROR(__xludf.dummyfunction("""COMPUTED_VALUE"""),0)</f>
        <v>0</v>
      </c>
      <c r="AJ77" s="70" t="n">
        <f aca="false">IFERROR(__xludf.dummyfunction("""COMPUTED_VALUE"""),1517270)</f>
        <v>1517270</v>
      </c>
      <c r="AK77" s="70" t="n">
        <f aca="false">IFERROR(__xludf.dummyfunction("""COMPUTED_VALUE"""),28766)</f>
        <v>28766</v>
      </c>
      <c r="AL77" s="70" t="n">
        <f aca="false">IFERROR(__xludf.dummyfunction("""COMPUTED_VALUE"""),615500)</f>
        <v>615500</v>
      </c>
      <c r="AM77" s="70" t="n">
        <f aca="false">IFERROR(__xludf.dummyfunction("""COMPUTED_VALUE"""),1124219)</f>
        <v>1124219</v>
      </c>
      <c r="AN77" s="70" t="n">
        <f aca="false">IFERROR(__xludf.dummyfunction("""COMPUTED_VALUE"""),424206)</f>
        <v>424206</v>
      </c>
      <c r="AO77" s="70" t="n">
        <f aca="false">IFERROR(__xludf.dummyfunction("""COMPUTED_VALUE"""),75500)</f>
        <v>75500</v>
      </c>
      <c r="AP77" s="70" t="n">
        <f aca="false">IFERROR(__xludf.dummyfunction("""COMPUTED_VALUE"""),343879)</f>
        <v>343879</v>
      </c>
      <c r="AQ77" s="70" t="n">
        <f aca="false">IFERROR(__xludf.dummyfunction("""COMPUTED_VALUE"""),400757)</f>
        <v>400757</v>
      </c>
      <c r="AR77" s="70" t="n">
        <f aca="false">IFERROR(__xludf.dummyfunction("""COMPUTED_VALUE"""),96421)</f>
        <v>96421</v>
      </c>
      <c r="AS77" s="70" t="n">
        <f aca="false">IFERROR(__xludf.dummyfunction("""COMPUTED_VALUE"""),1939425)</f>
        <v>1939425</v>
      </c>
      <c r="AT77" s="70" t="n">
        <f aca="false">IFERROR(__xludf.dummyfunction("""COMPUTED_VALUE"""),2705222)</f>
        <v>2705222</v>
      </c>
      <c r="AU77" s="70" t="n">
        <f aca="false">IFERROR(__xludf.dummyfunction("""COMPUTED_VALUE"""),332826)</f>
        <v>332826</v>
      </c>
      <c r="AV77" s="70" t="n">
        <f aca="false">IFERROR(__xludf.dummyfunction("""COMPUTED_VALUE"""),39630)</f>
        <v>39630</v>
      </c>
      <c r="AW77" s="70" t="n">
        <f aca="false">IFERROR(__xludf.dummyfunction("""COMPUTED_VALUE"""),1316420)</f>
        <v>1316420</v>
      </c>
      <c r="AX77" s="70" t="n">
        <f aca="false">IFERROR(__xludf.dummyfunction("""COMPUTED_VALUE"""),693472)</f>
        <v>693472</v>
      </c>
      <c r="AY77" s="70" t="n">
        <f aca="false">IFERROR(__xludf.dummyfunction("""COMPUTED_VALUE"""),0)</f>
        <v>0</v>
      </c>
      <c r="AZ77" s="70" t="n">
        <f aca="false">IFERROR(__xludf.dummyfunction("""COMPUTED_VALUE"""),3918)</f>
        <v>3918</v>
      </c>
      <c r="BA77" s="70" t="n">
        <f aca="false">IFERROR(__xludf.dummyfunction("""COMPUTED_VALUE"""),243195)</f>
        <v>243195</v>
      </c>
    </row>
    <row r="78" customFormat="false" ht="15.75" hidden="false" customHeight="false" outlineLevel="0" collapsed="false">
      <c r="A78" s="78" t="str">
        <f aca="false">IFERROR(__xludf.dummyfunction("""COMPUTED_VALUE"""),"sewer_type")</f>
        <v>sewer_type</v>
      </c>
      <c r="B78" s="72" t="n">
        <f aca="false">IFERROR(__xludf.dummyfunction("""COMPUTED_VALUE"""),28045458)</f>
        <v>28045458</v>
      </c>
      <c r="C78" s="73" t="n">
        <f aca="false">IFERROR(__xludf.dummyfunction("""COMPUTED_VALUE"""),297569)</f>
        <v>297569</v>
      </c>
      <c r="D78" s="70" t="n">
        <f aca="false">IFERROR(__xludf.dummyfunction("""COMPUTED_VALUE"""),134734)</f>
        <v>134734</v>
      </c>
      <c r="E78" s="70" t="n">
        <f aca="false">IFERROR(__xludf.dummyfunction("""COMPUTED_VALUE"""),177134)</f>
        <v>177134</v>
      </c>
      <c r="F78" s="70" t="n">
        <f aca="false">IFERROR(__xludf.dummyfunction("""COMPUTED_VALUE"""),0)</f>
        <v>0</v>
      </c>
      <c r="G78" s="70" t="n">
        <f aca="false">IFERROR(__xludf.dummyfunction("""COMPUTED_VALUE"""),1609252)</f>
        <v>1609252</v>
      </c>
      <c r="H78" s="70" t="n">
        <f aca="false">IFERROR(__xludf.dummyfunction("""COMPUTED_VALUE"""),131214)</f>
        <v>131214</v>
      </c>
      <c r="I78" s="70" t="n">
        <f aca="false">IFERROR(__xludf.dummyfunction("""COMPUTED_VALUE"""),143381)</f>
        <v>143381</v>
      </c>
      <c r="J78" s="70" t="n">
        <f aca="false">IFERROR(__xludf.dummyfunction("""COMPUTED_VALUE"""),12908)</f>
        <v>12908</v>
      </c>
      <c r="K78" s="70" t="n">
        <f aca="false">IFERROR(__xludf.dummyfunction("""COMPUTED_VALUE"""),0)</f>
        <v>0</v>
      </c>
      <c r="L78" s="70" t="n">
        <f aca="false">IFERROR(__xludf.dummyfunction("""COMPUTED_VALUE"""),400635)</f>
        <v>400635</v>
      </c>
      <c r="M78" s="70" t="n">
        <f aca="false">IFERROR(__xludf.dummyfunction("""COMPUTED_VALUE"""),1766622)</f>
        <v>1766622</v>
      </c>
      <c r="N78" s="70" t="n">
        <f aca="false">IFERROR(__xludf.dummyfunction("""COMPUTED_VALUE"""),0)</f>
        <v>0</v>
      </c>
      <c r="O78" s="70" t="n">
        <f aca="false">IFERROR(__xludf.dummyfunction("""COMPUTED_VALUE"""),41442)</f>
        <v>41442</v>
      </c>
      <c r="P78" s="70" t="n">
        <f aca="false">IFERROR(__xludf.dummyfunction("""COMPUTED_VALUE"""),81094)</f>
        <v>81094</v>
      </c>
      <c r="Q78" s="70" t="n">
        <f aca="false">IFERROR(__xludf.dummyfunction("""COMPUTED_VALUE"""),2375948)</f>
        <v>2375948</v>
      </c>
      <c r="R78" s="70" t="n">
        <f aca="false">IFERROR(__xludf.dummyfunction("""COMPUTED_VALUE"""),102554)</f>
        <v>102554</v>
      </c>
      <c r="S78" s="70" t="n">
        <f aca="false">IFERROR(__xludf.dummyfunction("""COMPUTED_VALUE"""),692249)</f>
        <v>692249</v>
      </c>
      <c r="T78" s="70" t="n">
        <f aca="false">IFERROR(__xludf.dummyfunction("""COMPUTED_VALUE"""),373277)</f>
        <v>373277</v>
      </c>
      <c r="U78" s="70" t="n">
        <f aca="false">IFERROR(__xludf.dummyfunction("""COMPUTED_VALUE"""),0)</f>
        <v>0</v>
      </c>
      <c r="V78" s="70" t="n">
        <f aca="false">IFERROR(__xludf.dummyfunction("""COMPUTED_VALUE"""),18089)</f>
        <v>18089</v>
      </c>
      <c r="W78" s="70" t="n">
        <f aca="false">IFERROR(__xludf.dummyfunction("""COMPUTED_VALUE"""),1674785)</f>
        <v>1674785</v>
      </c>
      <c r="X78" s="70" t="n">
        <f aca="false">IFERROR(__xludf.dummyfunction("""COMPUTED_VALUE"""),2865)</f>
        <v>2865</v>
      </c>
      <c r="Y78" s="70" t="n">
        <f aca="false">IFERROR(__xludf.dummyfunction("""COMPUTED_VALUE"""),195739)</f>
        <v>195739</v>
      </c>
      <c r="Z78" s="70" t="n">
        <f aca="false">IFERROR(__xludf.dummyfunction("""COMPUTED_VALUE"""),191134)</f>
        <v>191134</v>
      </c>
      <c r="AA78" s="70" t="n">
        <f aca="false">IFERROR(__xludf.dummyfunction("""COMPUTED_VALUE"""),0)</f>
        <v>0</v>
      </c>
      <c r="AB78" s="70" t="n">
        <f aca="false">IFERROR(__xludf.dummyfunction("""COMPUTED_VALUE"""),575998)</f>
        <v>575998</v>
      </c>
      <c r="AC78" s="70" t="n">
        <f aca="false">IFERROR(__xludf.dummyfunction("""COMPUTED_VALUE"""),367544)</f>
        <v>367544</v>
      </c>
      <c r="AD78" s="70" t="n">
        <f aca="false">IFERROR(__xludf.dummyfunction("""COMPUTED_VALUE"""),25002)</f>
        <v>25002</v>
      </c>
      <c r="AE78" s="70" t="n">
        <f aca="false">IFERROR(__xludf.dummyfunction("""COMPUTED_VALUE"""),236131)</f>
        <v>236131</v>
      </c>
      <c r="AF78" s="70" t="n">
        <f aca="false">IFERROR(__xludf.dummyfunction("""COMPUTED_VALUE"""),2510)</f>
        <v>2510</v>
      </c>
      <c r="AG78" s="70" t="n">
        <f aca="false">IFERROR(__xludf.dummyfunction("""COMPUTED_VALUE"""),190178)</f>
        <v>190178</v>
      </c>
      <c r="AH78" s="70" t="n">
        <f aca="false">IFERROR(__xludf.dummyfunction("""COMPUTED_VALUE"""),103954)</f>
        <v>103954</v>
      </c>
      <c r="AI78" s="70" t="n">
        <f aca="false">IFERROR(__xludf.dummyfunction("""COMPUTED_VALUE"""),3613205)</f>
        <v>3613205</v>
      </c>
      <c r="AJ78" s="70" t="n">
        <f aca="false">IFERROR(__xludf.dummyfunction("""COMPUTED_VALUE"""),519926)</f>
        <v>519926</v>
      </c>
      <c r="AK78" s="70" t="n">
        <f aca="false">IFERROR(__xludf.dummyfunction("""COMPUTED_VALUE"""),770)</f>
        <v>770</v>
      </c>
      <c r="AL78" s="70" t="n">
        <f aca="false">IFERROR(__xludf.dummyfunction("""COMPUTED_VALUE"""),2081946)</f>
        <v>2081946</v>
      </c>
      <c r="AM78" s="70" t="n">
        <f aca="false">IFERROR(__xludf.dummyfunction("""COMPUTED_VALUE"""),60775)</f>
        <v>60775</v>
      </c>
      <c r="AN78" s="70" t="n">
        <f aca="false">IFERROR(__xludf.dummyfunction("""COMPUTED_VALUE"""),23046)</f>
        <v>23046</v>
      </c>
      <c r="AO78" s="70" t="n">
        <f aca="false">IFERROR(__xludf.dummyfunction("""COMPUTED_VALUE"""),2258668)</f>
        <v>2258668</v>
      </c>
      <c r="AP78" s="70" t="n">
        <f aca="false">IFERROR(__xludf.dummyfunction("""COMPUTED_VALUE"""),0)</f>
        <v>0</v>
      </c>
      <c r="AQ78" s="70" t="n">
        <f aca="false">IFERROR(__xludf.dummyfunction("""COMPUTED_VALUE"""),305434)</f>
        <v>305434</v>
      </c>
      <c r="AR78" s="70" t="n">
        <f aca="false">IFERROR(__xludf.dummyfunction("""COMPUTED_VALUE"""),49491)</f>
        <v>49491</v>
      </c>
      <c r="AS78" s="70" t="n">
        <f aca="false">IFERROR(__xludf.dummyfunction("""COMPUTED_VALUE"""),2317354)</f>
        <v>2317354</v>
      </c>
      <c r="AT78" s="70" t="n">
        <f aca="false">IFERROR(__xludf.dummyfunction("""COMPUTED_VALUE"""),200473)</f>
        <v>200473</v>
      </c>
      <c r="AU78" s="70" t="n">
        <f aca="false">IFERROR(__xludf.dummyfunction("""COMPUTED_VALUE"""),383604)</f>
        <v>383604</v>
      </c>
      <c r="AV78" s="70" t="n">
        <f aca="false">IFERROR(__xludf.dummyfunction("""COMPUTED_VALUE"""),85)</f>
        <v>85</v>
      </c>
      <c r="AW78" s="70" t="n">
        <f aca="false">IFERROR(__xludf.dummyfunction("""COMPUTED_VALUE"""),1764857)</f>
        <v>1764857</v>
      </c>
      <c r="AX78" s="70" t="n">
        <f aca="false">IFERROR(__xludf.dummyfunction("""COMPUTED_VALUE"""),1475686)</f>
        <v>1475686</v>
      </c>
      <c r="AY78" s="70" t="n">
        <f aca="false">IFERROR(__xludf.dummyfunction("""COMPUTED_VALUE"""),838746)</f>
        <v>838746</v>
      </c>
      <c r="AZ78" s="70" t="n">
        <f aca="false">IFERROR(__xludf.dummyfunction("""COMPUTED_VALUE"""),212219)</f>
        <v>212219</v>
      </c>
      <c r="BA78" s="70" t="n">
        <f aca="false">IFERROR(__xludf.dummyfunction("""COMPUTED_VALUE"""),15231)</f>
        <v>15231</v>
      </c>
    </row>
    <row r="79" customFormat="false" ht="15.75" hidden="false" customHeight="false" outlineLevel="0" collapsed="false">
      <c r="A79" s="78" t="str">
        <f aca="false">IFERROR(__xludf.dummyfunction("""COMPUTED_VALUE"""),"water_type")</f>
        <v>water_type</v>
      </c>
      <c r="B79" s="72" t="n">
        <f aca="false">IFERROR(__xludf.dummyfunction("""COMPUTED_VALUE"""),28359209)</f>
        <v>28359209</v>
      </c>
      <c r="C79" s="73" t="n">
        <f aca="false">IFERROR(__xludf.dummyfunction("""COMPUTED_VALUE"""),350535)</f>
        <v>350535</v>
      </c>
      <c r="D79" s="70" t="n">
        <f aca="false">IFERROR(__xludf.dummyfunction("""COMPUTED_VALUE"""),135254)</f>
        <v>135254</v>
      </c>
      <c r="E79" s="70" t="n">
        <f aca="false">IFERROR(__xludf.dummyfunction("""COMPUTED_VALUE"""),135953)</f>
        <v>135953</v>
      </c>
      <c r="F79" s="70" t="n">
        <f aca="false">IFERROR(__xludf.dummyfunction("""COMPUTED_VALUE"""),0)</f>
        <v>0</v>
      </c>
      <c r="G79" s="70" t="n">
        <f aca="false">IFERROR(__xludf.dummyfunction("""COMPUTED_VALUE"""),1593166)</f>
        <v>1593166</v>
      </c>
      <c r="H79" s="70" t="n">
        <f aca="false">IFERROR(__xludf.dummyfunction("""COMPUTED_VALUE"""),136256)</f>
        <v>136256</v>
      </c>
      <c r="I79" s="70" t="n">
        <f aca="false">IFERROR(__xludf.dummyfunction("""COMPUTED_VALUE"""),84941)</f>
        <v>84941</v>
      </c>
      <c r="J79" s="70" t="n">
        <f aca="false">IFERROR(__xludf.dummyfunction("""COMPUTED_VALUE"""),1135)</f>
        <v>1135</v>
      </c>
      <c r="K79" s="70" t="n">
        <f aca="false">IFERROR(__xludf.dummyfunction("""COMPUTED_VALUE"""),0)</f>
        <v>0</v>
      </c>
      <c r="L79" s="70" t="n">
        <f aca="false">IFERROR(__xludf.dummyfunction("""COMPUTED_VALUE"""),401240)</f>
        <v>401240</v>
      </c>
      <c r="M79" s="70" t="n">
        <f aca="false">IFERROR(__xludf.dummyfunction("""COMPUTED_VALUE"""),1837312)</f>
        <v>1837312</v>
      </c>
      <c r="N79" s="70" t="n">
        <f aca="false">IFERROR(__xludf.dummyfunction("""COMPUTED_VALUE"""),0)</f>
        <v>0</v>
      </c>
      <c r="O79" s="70" t="n">
        <f aca="false">IFERROR(__xludf.dummyfunction("""COMPUTED_VALUE"""),41709)</f>
        <v>41709</v>
      </c>
      <c r="P79" s="70" t="n">
        <f aca="false">IFERROR(__xludf.dummyfunction("""COMPUTED_VALUE"""),77439)</f>
        <v>77439</v>
      </c>
      <c r="Q79" s="70" t="n">
        <f aca="false">IFERROR(__xludf.dummyfunction("""COMPUTED_VALUE"""),2382079)</f>
        <v>2382079</v>
      </c>
      <c r="R79" s="70" t="n">
        <f aca="false">IFERROR(__xludf.dummyfunction("""COMPUTED_VALUE"""),805605)</f>
        <v>805605</v>
      </c>
      <c r="S79" s="70" t="n">
        <f aca="false">IFERROR(__xludf.dummyfunction("""COMPUTED_VALUE"""),695810)</f>
        <v>695810</v>
      </c>
      <c r="T79" s="70" t="n">
        <f aca="false">IFERROR(__xludf.dummyfunction("""COMPUTED_VALUE"""),572693)</f>
        <v>572693</v>
      </c>
      <c r="U79" s="70" t="n">
        <f aca="false">IFERROR(__xludf.dummyfunction("""COMPUTED_VALUE"""),0)</f>
        <v>0</v>
      </c>
      <c r="V79" s="70" t="n">
        <f aca="false">IFERROR(__xludf.dummyfunction("""COMPUTED_VALUE"""),16472)</f>
        <v>16472</v>
      </c>
      <c r="W79" s="70" t="n">
        <f aca="false">IFERROR(__xludf.dummyfunction("""COMPUTED_VALUE"""),791500)</f>
        <v>791500</v>
      </c>
      <c r="X79" s="70" t="n">
        <f aca="false">IFERROR(__xludf.dummyfunction("""COMPUTED_VALUE"""),1185)</f>
        <v>1185</v>
      </c>
      <c r="Y79" s="70" t="n">
        <f aca="false">IFERROR(__xludf.dummyfunction("""COMPUTED_VALUE"""),222007)</f>
        <v>222007</v>
      </c>
      <c r="Z79" s="70" t="n">
        <f aca="false">IFERROR(__xludf.dummyfunction("""COMPUTED_VALUE"""),173565)</f>
        <v>173565</v>
      </c>
      <c r="AA79" s="70" t="n">
        <f aca="false">IFERROR(__xludf.dummyfunction("""COMPUTED_VALUE"""),20929)</f>
        <v>20929</v>
      </c>
      <c r="AB79" s="70" t="n">
        <f aca="false">IFERROR(__xludf.dummyfunction("""COMPUTED_VALUE"""),615198)</f>
        <v>615198</v>
      </c>
      <c r="AC79" s="70" t="n">
        <f aca="false">IFERROR(__xludf.dummyfunction("""COMPUTED_VALUE"""),369649)</f>
        <v>369649</v>
      </c>
      <c r="AD79" s="70" t="n">
        <f aca="false">IFERROR(__xludf.dummyfunction("""COMPUTED_VALUE"""),24676)</f>
        <v>24676</v>
      </c>
      <c r="AE79" s="70" t="n">
        <f aca="false">IFERROR(__xludf.dummyfunction("""COMPUTED_VALUE"""),207975)</f>
        <v>207975</v>
      </c>
      <c r="AF79" s="70" t="n">
        <f aca="false">IFERROR(__xludf.dummyfunction("""COMPUTED_VALUE"""),3758)</f>
        <v>3758</v>
      </c>
      <c r="AG79" s="70" t="n">
        <f aca="false">IFERROR(__xludf.dummyfunction("""COMPUTED_VALUE"""),180602)</f>
        <v>180602</v>
      </c>
      <c r="AH79" s="70" t="n">
        <f aca="false">IFERROR(__xludf.dummyfunction("""COMPUTED_VALUE"""),83877)</f>
        <v>83877</v>
      </c>
      <c r="AI79" s="70" t="n">
        <f aca="false">IFERROR(__xludf.dummyfunction("""COMPUTED_VALUE"""),3622504)</f>
        <v>3622504</v>
      </c>
      <c r="AJ79" s="70" t="n">
        <f aca="false">IFERROR(__xludf.dummyfunction("""COMPUTED_VALUE"""),567937)</f>
        <v>567937</v>
      </c>
      <c r="AK79" s="70" t="n">
        <f aca="false">IFERROR(__xludf.dummyfunction("""COMPUTED_VALUE"""),5)</f>
        <v>5</v>
      </c>
      <c r="AL79" s="70" t="n">
        <f aca="false">IFERROR(__xludf.dummyfunction("""COMPUTED_VALUE"""),2097329)</f>
        <v>2097329</v>
      </c>
      <c r="AM79" s="70" t="n">
        <f aca="false">IFERROR(__xludf.dummyfunction("""COMPUTED_VALUE"""),61285)</f>
        <v>61285</v>
      </c>
      <c r="AN79" s="70" t="n">
        <f aca="false">IFERROR(__xludf.dummyfunction("""COMPUTED_VALUE"""),16780)</f>
        <v>16780</v>
      </c>
      <c r="AO79" s="70" t="n">
        <f aca="false">IFERROR(__xludf.dummyfunction("""COMPUTED_VALUE"""),2321554)</f>
        <v>2321554</v>
      </c>
      <c r="AP79" s="70" t="n">
        <f aca="false">IFERROR(__xludf.dummyfunction("""COMPUTED_VALUE"""),1601)</f>
        <v>1601</v>
      </c>
      <c r="AQ79" s="70" t="n">
        <f aca="false">IFERROR(__xludf.dummyfunction("""COMPUTED_VALUE"""),298719)</f>
        <v>298719</v>
      </c>
      <c r="AR79" s="70" t="n">
        <f aca="false">IFERROR(__xludf.dummyfunction("""COMPUTED_VALUE"""),50410)</f>
        <v>50410</v>
      </c>
      <c r="AS79" s="70" t="n">
        <f aca="false">IFERROR(__xludf.dummyfunction("""COMPUTED_VALUE"""),2422626)</f>
        <v>2422626</v>
      </c>
      <c r="AT79" s="70" t="n">
        <f aca="false">IFERROR(__xludf.dummyfunction("""COMPUTED_VALUE"""),173410)</f>
        <v>173410</v>
      </c>
      <c r="AU79" s="70" t="n">
        <f aca="false">IFERROR(__xludf.dummyfunction("""COMPUTED_VALUE"""),311006)</f>
        <v>311006</v>
      </c>
      <c r="AV79" s="70" t="n">
        <f aca="false">IFERROR(__xludf.dummyfunction("""COMPUTED_VALUE"""),1133)</f>
        <v>1133</v>
      </c>
      <c r="AW79" s="70" t="n">
        <f aca="false">IFERROR(__xludf.dummyfunction("""COMPUTED_VALUE"""),1801466)</f>
        <v>1801466</v>
      </c>
      <c r="AX79" s="70" t="n">
        <f aca="false">IFERROR(__xludf.dummyfunction("""COMPUTED_VALUE"""),1471356)</f>
        <v>1471356</v>
      </c>
      <c r="AY79" s="70" t="n">
        <f aca="false">IFERROR(__xludf.dummyfunction("""COMPUTED_VALUE"""),950978)</f>
        <v>950978</v>
      </c>
      <c r="AZ79" s="70" t="n">
        <f aca="false">IFERROR(__xludf.dummyfunction("""COMPUTED_VALUE"""),210940)</f>
        <v>210940</v>
      </c>
      <c r="BA79" s="70" t="n">
        <f aca="false">IFERROR(__xludf.dummyfunction("""COMPUTED_VALUE"""),15650)</f>
        <v>15650</v>
      </c>
    </row>
    <row r="80" customFormat="false" ht="15.75" hidden="false" customHeight="false" outlineLevel="0" collapsed="false">
      <c r="B80" s="59"/>
      <c r="C80" s="79"/>
      <c r="D80" s="80"/>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row>
    <row r="81" customFormat="false" ht="15.75" hidden="false" customHeight="false" outlineLevel="0" collapsed="false">
      <c r="A81" s="74" t="s">
        <v>1812</v>
      </c>
      <c r="B81" s="7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row>
    <row r="82" customFormat="false" ht="15.75" hidden="false" customHeight="false" outlineLevel="0" collapsed="false">
      <c r="A82" s="75" t="str">
        <f aca="false">IFERROR(__xludf.dummyfunction("TRANSPOSE(IMPORTRANGE(""https://docs.google.com/spreadsheets/d/1sNrf4xlwHQ-LujHTd1_nLHq6duGtTzjk33k9jntfg4c"", ""'Other Areas'!F4:G56""))"),"area_type")</f>
        <v>area_type</v>
      </c>
      <c r="B82" s="56" t="n">
        <f aca="false">IFERROR(__xludf.dummyfunction("""COMPUTED_VALUE"""),79245976)</f>
        <v>79245976</v>
      </c>
      <c r="C82" s="76" t="n">
        <f aca="false">IFERROR(__xludf.dummyfunction("""COMPUTED_VALUE"""),2010650)</f>
        <v>2010650</v>
      </c>
      <c r="D82" s="77" t="n">
        <f aca="false">IFERROR(__xludf.dummyfunction("""COMPUTED_VALUE"""),198943)</f>
        <v>198943</v>
      </c>
      <c r="E82" s="77" t="n">
        <f aca="false">IFERROR(__xludf.dummyfunction("""COMPUTED_VALUE"""),634269)</f>
        <v>634269</v>
      </c>
      <c r="F82" s="77" t="n">
        <f aca="false">IFERROR(__xludf.dummyfunction("""COMPUTED_VALUE"""),1148179)</f>
        <v>1148179</v>
      </c>
      <c r="G82" s="77" t="n">
        <f aca="false">IFERROR(__xludf.dummyfunction("""COMPUTED_VALUE"""),5579360)</f>
        <v>5579360</v>
      </c>
      <c r="H82" s="77" t="n">
        <f aca="false">IFERROR(__xludf.dummyfunction("""COMPUTED_VALUE"""),2237967)</f>
        <v>2237967</v>
      </c>
      <c r="I82" s="77" t="n">
        <f aca="false">IFERROR(__xludf.dummyfunction("""COMPUTED_VALUE"""),1120451)</f>
        <v>1120451</v>
      </c>
      <c r="J82" s="77" t="n">
        <f aca="false">IFERROR(__xludf.dummyfunction("""COMPUTED_VALUE"""),353003)</f>
        <v>353003</v>
      </c>
      <c r="K82" s="77" t="n">
        <f aca="false">IFERROR(__xludf.dummyfunction("""COMPUTED_VALUE"""),94328)</f>
        <v>94328</v>
      </c>
      <c r="L82" s="77" t="n">
        <f aca="false">IFERROR(__xludf.dummyfunction("""COMPUTED_VALUE"""),7289448)</f>
        <v>7289448</v>
      </c>
      <c r="M82" s="77" t="n">
        <f aca="false">IFERROR(__xludf.dummyfunction("""COMPUTED_VALUE"""),1784038)</f>
        <v>1784038</v>
      </c>
      <c r="N82" s="77" t="n">
        <f aca="false">IFERROR(__xludf.dummyfunction("""COMPUTED_VALUE"""),619141)</f>
        <v>619141</v>
      </c>
      <c r="O82" s="77" t="n">
        <f aca="false">IFERROR(__xludf.dummyfunction("""COMPUTED_VALUE"""),565150)</f>
        <v>565150</v>
      </c>
      <c r="P82" s="77" t="n">
        <f aca="false">IFERROR(__xludf.dummyfunction("""COMPUTED_VALUE"""),1346500)</f>
        <v>1346500</v>
      </c>
      <c r="Q82" s="77" t="n">
        <f aca="false">IFERROR(__xludf.dummyfunction("""COMPUTED_VALUE"""),2305199)</f>
        <v>2305199</v>
      </c>
      <c r="R82" s="77" t="n">
        <f aca="false">IFERROR(__xludf.dummyfunction("""COMPUTED_VALUE"""),1181868)</f>
        <v>1181868</v>
      </c>
      <c r="S82" s="77" t="n">
        <f aca="false">IFERROR(__xludf.dummyfunction("""COMPUTED_VALUE"""),1028180)</f>
        <v>1028180</v>
      </c>
      <c r="T82" s="77" t="n">
        <f aca="false">IFERROR(__xludf.dummyfunction("""COMPUTED_VALUE"""),974307)</f>
        <v>974307</v>
      </c>
      <c r="U82" s="77" t="n">
        <f aca="false">IFERROR(__xludf.dummyfunction("""COMPUTED_VALUE"""),341391)</f>
        <v>341391</v>
      </c>
      <c r="V82" s="77" t="n">
        <f aca="false">IFERROR(__xludf.dummyfunction("""COMPUTED_VALUE"""),272148)</f>
        <v>272148</v>
      </c>
      <c r="W82" s="77" t="n">
        <f aca="false">IFERROR(__xludf.dummyfunction("""COMPUTED_VALUE"""),1723492)</f>
        <v>1723492</v>
      </c>
      <c r="X82" s="77" t="n">
        <f aca="false">IFERROR(__xludf.dummyfunction("""COMPUTED_VALUE"""),2059792)</f>
        <v>2059792</v>
      </c>
      <c r="Y82" s="77" t="n">
        <f aca="false">IFERROR(__xludf.dummyfunction("""COMPUTED_VALUE"""),2778525)</f>
        <v>2778525</v>
      </c>
      <c r="Z82" s="77" t="n">
        <f aca="false">IFERROR(__xludf.dummyfunction("""COMPUTED_VALUE"""),1610234)</f>
        <v>1610234</v>
      </c>
      <c r="AA82" s="77" t="n">
        <f aca="false">IFERROR(__xludf.dummyfunction("""COMPUTED_VALUE"""),1054075)</f>
        <v>1054075</v>
      </c>
      <c r="AB82" s="77" t="n">
        <f aca="false">IFERROR(__xludf.dummyfunction("""COMPUTED_VALUE"""),1744233)</f>
        <v>1744233</v>
      </c>
      <c r="AC82" s="77" t="n">
        <f aca="false">IFERROR(__xludf.dummyfunction("""COMPUTED_VALUE"""),435228)</f>
        <v>435228</v>
      </c>
      <c r="AD82" s="77" t="n">
        <f aca="false">IFERROR(__xludf.dummyfunction("""COMPUTED_VALUE"""),683027)</f>
        <v>683027</v>
      </c>
      <c r="AE82" s="77" t="n">
        <f aca="false">IFERROR(__xludf.dummyfunction("""COMPUTED_VALUE"""),930440)</f>
        <v>930440</v>
      </c>
      <c r="AF82" s="77" t="n">
        <f aca="false">IFERROR(__xludf.dummyfunction("""COMPUTED_VALUE"""),557583)</f>
        <v>557583</v>
      </c>
      <c r="AG82" s="77" t="n">
        <f aca="false">IFERROR(__xludf.dummyfunction("""COMPUTED_VALUE"""),413463)</f>
        <v>413463</v>
      </c>
      <c r="AH82" s="77" t="n">
        <f aca="false">IFERROR(__xludf.dummyfunction("""COMPUTED_VALUE"""),330490)</f>
        <v>330490</v>
      </c>
      <c r="AI82" s="77" t="n">
        <f aca="false">IFERROR(__xludf.dummyfunction("""COMPUTED_VALUE"""),4432592)</f>
        <v>4432592</v>
      </c>
      <c r="AJ82" s="77" t="n">
        <f aca="false">IFERROR(__xludf.dummyfunction("""COMPUTED_VALUE"""),2108916)</f>
        <v>2108916</v>
      </c>
      <c r="AK82" s="77" t="n">
        <f aca="false">IFERROR(__xludf.dummyfunction("""COMPUTED_VALUE"""),80656)</f>
        <v>80656</v>
      </c>
      <c r="AL82" s="77" t="n">
        <f aca="false">IFERROR(__xludf.dummyfunction("""COMPUTED_VALUE"""),3829986)</f>
        <v>3829986</v>
      </c>
      <c r="AM82" s="77" t="n">
        <f aca="false">IFERROR(__xludf.dummyfunction("""COMPUTED_VALUE"""),1515003)</f>
        <v>1515003</v>
      </c>
      <c r="AN82" s="77" t="n">
        <f aca="false">IFERROR(__xludf.dummyfunction("""COMPUTED_VALUE"""),1216203)</f>
        <v>1216203</v>
      </c>
      <c r="AO82" s="77" t="n">
        <f aca="false">IFERROR(__xludf.dummyfunction("""COMPUTED_VALUE"""),1541211)</f>
        <v>1541211</v>
      </c>
      <c r="AP82" s="77" t="n">
        <f aca="false">IFERROR(__xludf.dummyfunction("""COMPUTED_VALUE"""),356716)</f>
        <v>356716</v>
      </c>
      <c r="AQ82" s="77" t="n">
        <f aca="false">IFERROR(__xludf.dummyfunction("""COMPUTED_VALUE"""),1317444)</f>
        <v>1317444</v>
      </c>
      <c r="AR82" s="77" t="n">
        <f aca="false">IFERROR(__xludf.dummyfunction("""COMPUTED_VALUE"""),167410)</f>
        <v>167410</v>
      </c>
      <c r="AS82" s="77" t="n">
        <f aca="false">IFERROR(__xludf.dummyfunction("""COMPUTED_VALUE"""),2748231)</f>
        <v>2748231</v>
      </c>
      <c r="AT82" s="77" t="n">
        <f aca="false">IFERROR(__xludf.dummyfunction("""COMPUTED_VALUE"""),7574709)</f>
        <v>7574709</v>
      </c>
      <c r="AU82" s="77" t="n">
        <f aca="false">IFERROR(__xludf.dummyfunction("""COMPUTED_VALUE"""),796516)</f>
        <v>796516</v>
      </c>
      <c r="AV82" s="77" t="n">
        <f aca="false">IFERROR(__xludf.dummyfunction("""COMPUTED_VALUE"""),95098)</f>
        <v>95098</v>
      </c>
      <c r="AW82" s="77" t="n">
        <f aca="false">IFERROR(__xludf.dummyfunction("""COMPUTED_VALUE"""),2321525)</f>
        <v>2321525</v>
      </c>
      <c r="AX82" s="77" t="n">
        <f aca="false">IFERROR(__xludf.dummyfunction("""COMPUTED_VALUE"""),2196733)</f>
        <v>2196733</v>
      </c>
      <c r="AY82" s="77" t="n">
        <f aca="false">IFERROR(__xludf.dummyfunction("""COMPUTED_VALUE"""),839286)</f>
        <v>839286</v>
      </c>
      <c r="AZ82" s="77" t="n">
        <f aca="false">IFERROR(__xludf.dummyfunction("""COMPUTED_VALUE"""),477457)</f>
        <v>477457</v>
      </c>
      <c r="BA82" s="77" t="n">
        <f aca="false">IFERROR(__xludf.dummyfunction("""COMPUTED_VALUE"""),225182)</f>
        <v>225182</v>
      </c>
    </row>
    <row r="83" customFormat="false" ht="15.75" hidden="false" customHeight="false" outlineLevel="0" collapsed="false">
      <c r="A83" s="78" t="str">
        <f aca="false">IFERROR(__xludf.dummyfunction("""COMPUTED_VALUE"""),"area_sq_ft")</f>
        <v>area_sq_ft</v>
      </c>
      <c r="B83" s="72" t="n">
        <f aca="false">IFERROR(__xludf.dummyfunction("""COMPUTED_VALUE"""),79245976)</f>
        <v>79245976</v>
      </c>
      <c r="C83" s="73" t="n">
        <f aca="false">IFERROR(__xludf.dummyfunction("""COMPUTED_VALUE"""),2010650)</f>
        <v>2010650</v>
      </c>
      <c r="D83" s="70" t="n">
        <f aca="false">IFERROR(__xludf.dummyfunction("""COMPUTED_VALUE"""),198943)</f>
        <v>198943</v>
      </c>
      <c r="E83" s="70" t="n">
        <f aca="false">IFERROR(__xludf.dummyfunction("""COMPUTED_VALUE"""),634269)</f>
        <v>634269</v>
      </c>
      <c r="F83" s="70" t="n">
        <f aca="false">IFERROR(__xludf.dummyfunction("""COMPUTED_VALUE"""),1148179)</f>
        <v>1148179</v>
      </c>
      <c r="G83" s="70" t="n">
        <f aca="false">IFERROR(__xludf.dummyfunction("""COMPUTED_VALUE"""),5579360)</f>
        <v>5579360</v>
      </c>
      <c r="H83" s="70" t="n">
        <f aca="false">IFERROR(__xludf.dummyfunction("""COMPUTED_VALUE"""),2237967)</f>
        <v>2237967</v>
      </c>
      <c r="I83" s="70" t="n">
        <f aca="false">IFERROR(__xludf.dummyfunction("""COMPUTED_VALUE"""),1120451)</f>
        <v>1120451</v>
      </c>
      <c r="J83" s="70" t="n">
        <f aca="false">IFERROR(__xludf.dummyfunction("""COMPUTED_VALUE"""),353003)</f>
        <v>353003</v>
      </c>
      <c r="K83" s="70" t="n">
        <f aca="false">IFERROR(__xludf.dummyfunction("""COMPUTED_VALUE"""),94328)</f>
        <v>94328</v>
      </c>
      <c r="L83" s="70" t="n">
        <f aca="false">IFERROR(__xludf.dummyfunction("""COMPUTED_VALUE"""),7289448)</f>
        <v>7289448</v>
      </c>
      <c r="M83" s="70" t="n">
        <f aca="false">IFERROR(__xludf.dummyfunction("""COMPUTED_VALUE"""),1784038)</f>
        <v>1784038</v>
      </c>
      <c r="N83" s="70" t="n">
        <f aca="false">IFERROR(__xludf.dummyfunction("""COMPUTED_VALUE"""),619141)</f>
        <v>619141</v>
      </c>
      <c r="O83" s="70" t="n">
        <f aca="false">IFERROR(__xludf.dummyfunction("""COMPUTED_VALUE"""),565150)</f>
        <v>565150</v>
      </c>
      <c r="P83" s="70" t="n">
        <f aca="false">IFERROR(__xludf.dummyfunction("""COMPUTED_VALUE"""),1346500)</f>
        <v>1346500</v>
      </c>
      <c r="Q83" s="70" t="n">
        <f aca="false">IFERROR(__xludf.dummyfunction("""COMPUTED_VALUE"""),2305199)</f>
        <v>2305199</v>
      </c>
      <c r="R83" s="70" t="n">
        <f aca="false">IFERROR(__xludf.dummyfunction("""COMPUTED_VALUE"""),1181868)</f>
        <v>1181868</v>
      </c>
      <c r="S83" s="70" t="n">
        <f aca="false">IFERROR(__xludf.dummyfunction("""COMPUTED_VALUE"""),1028180)</f>
        <v>1028180</v>
      </c>
      <c r="T83" s="70" t="n">
        <f aca="false">IFERROR(__xludf.dummyfunction("""COMPUTED_VALUE"""),974307)</f>
        <v>974307</v>
      </c>
      <c r="U83" s="70" t="n">
        <f aca="false">IFERROR(__xludf.dummyfunction("""COMPUTED_VALUE"""),341391)</f>
        <v>341391</v>
      </c>
      <c r="V83" s="70" t="n">
        <f aca="false">IFERROR(__xludf.dummyfunction("""COMPUTED_VALUE"""),272148)</f>
        <v>272148</v>
      </c>
      <c r="W83" s="70" t="n">
        <f aca="false">IFERROR(__xludf.dummyfunction("""COMPUTED_VALUE"""),1723492)</f>
        <v>1723492</v>
      </c>
      <c r="X83" s="70" t="n">
        <f aca="false">IFERROR(__xludf.dummyfunction("""COMPUTED_VALUE"""),2059792)</f>
        <v>2059792</v>
      </c>
      <c r="Y83" s="70" t="n">
        <f aca="false">IFERROR(__xludf.dummyfunction("""COMPUTED_VALUE"""),2778525)</f>
        <v>2778525</v>
      </c>
      <c r="Z83" s="70" t="n">
        <f aca="false">IFERROR(__xludf.dummyfunction("""COMPUTED_VALUE"""),1610234)</f>
        <v>1610234</v>
      </c>
      <c r="AA83" s="70" t="n">
        <f aca="false">IFERROR(__xludf.dummyfunction("""COMPUTED_VALUE"""),1054075)</f>
        <v>1054075</v>
      </c>
      <c r="AB83" s="70" t="n">
        <f aca="false">IFERROR(__xludf.dummyfunction("""COMPUTED_VALUE"""),1744233)</f>
        <v>1744233</v>
      </c>
      <c r="AC83" s="70" t="n">
        <f aca="false">IFERROR(__xludf.dummyfunction("""COMPUTED_VALUE"""),435228)</f>
        <v>435228</v>
      </c>
      <c r="AD83" s="70" t="n">
        <f aca="false">IFERROR(__xludf.dummyfunction("""COMPUTED_VALUE"""),683027)</f>
        <v>683027</v>
      </c>
      <c r="AE83" s="70" t="n">
        <f aca="false">IFERROR(__xludf.dummyfunction("""COMPUTED_VALUE"""),930440)</f>
        <v>930440</v>
      </c>
      <c r="AF83" s="70" t="n">
        <f aca="false">IFERROR(__xludf.dummyfunction("""COMPUTED_VALUE"""),557583)</f>
        <v>557583</v>
      </c>
      <c r="AG83" s="70" t="n">
        <f aca="false">IFERROR(__xludf.dummyfunction("""COMPUTED_VALUE"""),413463)</f>
        <v>413463</v>
      </c>
      <c r="AH83" s="70" t="n">
        <f aca="false">IFERROR(__xludf.dummyfunction("""COMPUTED_VALUE"""),330490)</f>
        <v>330490</v>
      </c>
      <c r="AI83" s="70" t="n">
        <f aca="false">IFERROR(__xludf.dummyfunction("""COMPUTED_VALUE"""),4432592)</f>
        <v>4432592</v>
      </c>
      <c r="AJ83" s="70" t="n">
        <f aca="false">IFERROR(__xludf.dummyfunction("""COMPUTED_VALUE"""),2108916)</f>
        <v>2108916</v>
      </c>
      <c r="AK83" s="70" t="n">
        <f aca="false">IFERROR(__xludf.dummyfunction("""COMPUTED_VALUE"""),80656)</f>
        <v>80656</v>
      </c>
      <c r="AL83" s="70" t="n">
        <f aca="false">IFERROR(__xludf.dummyfunction("""COMPUTED_VALUE"""),3829986)</f>
        <v>3829986</v>
      </c>
      <c r="AM83" s="70" t="n">
        <f aca="false">IFERROR(__xludf.dummyfunction("""COMPUTED_VALUE"""),1515003)</f>
        <v>1515003</v>
      </c>
      <c r="AN83" s="70" t="n">
        <f aca="false">IFERROR(__xludf.dummyfunction("""COMPUTED_VALUE"""),1216203)</f>
        <v>1216203</v>
      </c>
      <c r="AO83" s="70" t="n">
        <f aca="false">IFERROR(__xludf.dummyfunction("""COMPUTED_VALUE"""),1541211)</f>
        <v>1541211</v>
      </c>
      <c r="AP83" s="70" t="n">
        <f aca="false">IFERROR(__xludf.dummyfunction("""COMPUTED_VALUE"""),356716)</f>
        <v>356716</v>
      </c>
      <c r="AQ83" s="70" t="n">
        <f aca="false">IFERROR(__xludf.dummyfunction("""COMPUTED_VALUE"""),1317444)</f>
        <v>1317444</v>
      </c>
      <c r="AR83" s="70" t="n">
        <f aca="false">IFERROR(__xludf.dummyfunction("""COMPUTED_VALUE"""),167410)</f>
        <v>167410</v>
      </c>
      <c r="AS83" s="70" t="n">
        <f aca="false">IFERROR(__xludf.dummyfunction("""COMPUTED_VALUE"""),2748231)</f>
        <v>2748231</v>
      </c>
      <c r="AT83" s="70" t="n">
        <f aca="false">IFERROR(__xludf.dummyfunction("""COMPUTED_VALUE"""),7574709)</f>
        <v>7574709</v>
      </c>
      <c r="AU83" s="70" t="n">
        <f aca="false">IFERROR(__xludf.dummyfunction("""COMPUTED_VALUE"""),796516)</f>
        <v>796516</v>
      </c>
      <c r="AV83" s="70" t="n">
        <f aca="false">IFERROR(__xludf.dummyfunction("""COMPUTED_VALUE"""),95098)</f>
        <v>95098</v>
      </c>
      <c r="AW83" s="70" t="n">
        <f aca="false">IFERROR(__xludf.dummyfunction("""COMPUTED_VALUE"""),2321525)</f>
        <v>2321525</v>
      </c>
      <c r="AX83" s="70" t="n">
        <f aca="false">IFERROR(__xludf.dummyfunction("""COMPUTED_VALUE"""),2196733)</f>
        <v>2196733</v>
      </c>
      <c r="AY83" s="70" t="n">
        <f aca="false">IFERROR(__xludf.dummyfunction("""COMPUTED_VALUE"""),839286)</f>
        <v>839286</v>
      </c>
      <c r="AZ83" s="70" t="n">
        <f aca="false">IFERROR(__xludf.dummyfunction("""COMPUTED_VALUE"""),477457)</f>
        <v>477457</v>
      </c>
      <c r="BA83" s="70" t="n">
        <f aca="false">IFERROR(__xludf.dummyfunction("""COMPUTED_VALUE"""),225182)</f>
        <v>225182</v>
      </c>
    </row>
    <row r="84" customFormat="false" ht="15.75" hidden="false" customHeight="false" outlineLevel="0" collapsed="false">
      <c r="B84" s="59"/>
      <c r="C84" s="79"/>
      <c r="D84" s="80"/>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row>
    <row r="85" customFormat="false" ht="15.75" hidden="false" customHeight="false" outlineLevel="0" collapsed="false">
      <c r="A85" s="74" t="s">
        <v>1813</v>
      </c>
      <c r="B85" s="7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row>
    <row r="86" customFormat="false" ht="15.75" hidden="false" customHeight="false" outlineLevel="0" collapsed="false">
      <c r="A86" s="75" t="str">
        <f aca="false">IFERROR(__xludf.dummyfunction("TRANSPOSE(IMPORTRANGE(""https://docs.google.com/spreadsheets/d/1sNrf4xlwHQ-LujHTd1_nLHq6duGtTzjk33k9jntfg4c"", ""'Other Features'!F4:G56""))"),"feature_type")</f>
        <v>feature_type</v>
      </c>
      <c r="B86" s="56" t="n">
        <f aca="false">IFERROR(__xludf.dummyfunction("""COMPUTED_VALUE"""),9827246)</f>
        <v>9827246</v>
      </c>
      <c r="C86" s="76" t="n">
        <f aca="false">IFERROR(__xludf.dummyfunction("""COMPUTED_VALUE"""),127301)</f>
        <v>127301</v>
      </c>
      <c r="D86" s="77" t="n">
        <f aca="false">IFERROR(__xludf.dummyfunction("""COMPUTED_VALUE"""),33752)</f>
        <v>33752</v>
      </c>
      <c r="E86" s="77" t="n">
        <f aca="false">IFERROR(__xludf.dummyfunction("""COMPUTED_VALUE"""),82902)</f>
        <v>82902</v>
      </c>
      <c r="F86" s="77" t="n">
        <f aca="false">IFERROR(__xludf.dummyfunction("""COMPUTED_VALUE"""),818038)</f>
        <v>818038</v>
      </c>
      <c r="G86" s="77" t="n">
        <f aca="false">IFERROR(__xludf.dummyfunction("""COMPUTED_VALUE"""),0)</f>
        <v>0</v>
      </c>
      <c r="H86" s="77" t="n">
        <f aca="false">IFERROR(__xludf.dummyfunction("""COMPUTED_VALUE"""),135535)</f>
        <v>135535</v>
      </c>
      <c r="I86" s="77" t="n">
        <f aca="false">IFERROR(__xludf.dummyfunction("""COMPUTED_VALUE"""),0)</f>
        <v>0</v>
      </c>
      <c r="J86" s="77" t="n">
        <f aca="false">IFERROR(__xludf.dummyfunction("""COMPUTED_VALUE"""),7185)</f>
        <v>7185</v>
      </c>
      <c r="K86" s="77" t="n">
        <f aca="false">IFERROR(__xludf.dummyfunction("""COMPUTED_VALUE"""),0)</f>
        <v>0</v>
      </c>
      <c r="L86" s="77" t="n">
        <f aca="false">IFERROR(__xludf.dummyfunction("""COMPUTED_VALUE"""),2509080)</f>
        <v>2509080</v>
      </c>
      <c r="M86" s="77" t="n">
        <f aca="false">IFERROR(__xludf.dummyfunction("""COMPUTED_VALUE"""),357964)</f>
        <v>357964</v>
      </c>
      <c r="N86" s="77" t="n">
        <f aca="false">IFERROR(__xludf.dummyfunction("""COMPUTED_VALUE"""),8926)</f>
        <v>8926</v>
      </c>
      <c r="O86" s="77" t="n">
        <f aca="false">IFERROR(__xludf.dummyfunction("""COMPUTED_VALUE"""),86009)</f>
        <v>86009</v>
      </c>
      <c r="P86" s="77" t="n">
        <f aca="false">IFERROR(__xludf.dummyfunction("""COMPUTED_VALUE"""),116790)</f>
        <v>116790</v>
      </c>
      <c r="Q86" s="77" t="n">
        <f aca="false">IFERROR(__xludf.dummyfunction("""COMPUTED_VALUE"""),2455)</f>
        <v>2455</v>
      </c>
      <c r="R86" s="77" t="n">
        <f aca="false">IFERROR(__xludf.dummyfunction("""COMPUTED_VALUE"""),12390)</f>
        <v>12390</v>
      </c>
      <c r="S86" s="77" t="n">
        <f aca="false">IFERROR(__xludf.dummyfunction("""COMPUTED_VALUE"""),37244)</f>
        <v>37244</v>
      </c>
      <c r="T86" s="77" t="n">
        <f aca="false">IFERROR(__xludf.dummyfunction("""COMPUTED_VALUE"""),495888)</f>
        <v>495888</v>
      </c>
      <c r="U86" s="77" t="n">
        <f aca="false">IFERROR(__xludf.dummyfunction("""COMPUTED_VALUE"""),345)</f>
        <v>345</v>
      </c>
      <c r="V86" s="77" t="n">
        <f aca="false">IFERROR(__xludf.dummyfunction("""COMPUTED_VALUE"""),0)</f>
        <v>0</v>
      </c>
      <c r="W86" s="77" t="n">
        <f aca="false">IFERROR(__xludf.dummyfunction("""COMPUTED_VALUE"""),148)</f>
        <v>148</v>
      </c>
      <c r="X86" s="77" t="n">
        <f aca="false">IFERROR(__xludf.dummyfunction("""COMPUTED_VALUE"""),38)</f>
        <v>38</v>
      </c>
      <c r="Y86" s="77" t="n">
        <f aca="false">IFERROR(__xludf.dummyfunction("""COMPUTED_VALUE"""),61053)</f>
        <v>61053</v>
      </c>
      <c r="Z86" s="77" t="n">
        <f aca="false">IFERROR(__xludf.dummyfunction("""COMPUTED_VALUE"""),246849)</f>
        <v>246849</v>
      </c>
      <c r="AA86" s="77" t="n">
        <f aca="false">IFERROR(__xludf.dummyfunction("""COMPUTED_VALUE"""),13282)</f>
        <v>13282</v>
      </c>
      <c r="AB86" s="77" t="n">
        <f aca="false">IFERROR(__xludf.dummyfunction("""COMPUTED_VALUE"""),84256)</f>
        <v>84256</v>
      </c>
      <c r="AC86" s="77" t="n">
        <f aca="false">IFERROR(__xludf.dummyfunction("""COMPUTED_VALUE"""),200058)</f>
        <v>200058</v>
      </c>
      <c r="AD86" s="77" t="n">
        <f aca="false">IFERROR(__xludf.dummyfunction("""COMPUTED_VALUE"""),270502)</f>
        <v>270502</v>
      </c>
      <c r="AE86" s="77" t="n">
        <f aca="false">IFERROR(__xludf.dummyfunction("""COMPUTED_VALUE"""),692378)</f>
        <v>692378</v>
      </c>
      <c r="AF86" s="77" t="n">
        <f aca="false">IFERROR(__xludf.dummyfunction("""COMPUTED_VALUE"""),0)</f>
        <v>0</v>
      </c>
      <c r="AG86" s="77" t="n">
        <f aca="false">IFERROR(__xludf.dummyfunction("""COMPUTED_VALUE"""),0)</f>
        <v>0</v>
      </c>
      <c r="AH86" s="77" t="n">
        <f aca="false">IFERROR(__xludf.dummyfunction("""COMPUTED_VALUE"""),8757)</f>
        <v>8757</v>
      </c>
      <c r="AI86" s="77" t="n">
        <f aca="false">IFERROR(__xludf.dummyfunction("""COMPUTED_VALUE"""),102107)</f>
        <v>102107</v>
      </c>
      <c r="AJ86" s="77" t="n">
        <f aca="false">IFERROR(__xludf.dummyfunction("""COMPUTED_VALUE"""),302925)</f>
        <v>302925</v>
      </c>
      <c r="AK86" s="77" t="n">
        <f aca="false">IFERROR(__xludf.dummyfunction("""COMPUTED_VALUE"""),192)</f>
        <v>192</v>
      </c>
      <c r="AL86" s="77" t="n">
        <f aca="false">IFERROR(__xludf.dummyfunction("""COMPUTED_VALUE"""),238339)</f>
        <v>238339</v>
      </c>
      <c r="AM86" s="77" t="n">
        <f aca="false">IFERROR(__xludf.dummyfunction("""COMPUTED_VALUE"""),156557)</f>
        <v>156557</v>
      </c>
      <c r="AN86" s="77" t="n">
        <f aca="false">IFERROR(__xludf.dummyfunction("""COMPUTED_VALUE"""),386334)</f>
        <v>386334</v>
      </c>
      <c r="AO86" s="77" t="n">
        <f aca="false">IFERROR(__xludf.dummyfunction("""COMPUTED_VALUE"""),135153)</f>
        <v>135153</v>
      </c>
      <c r="AP86" s="77" t="n">
        <f aca="false">IFERROR(__xludf.dummyfunction("""COMPUTED_VALUE"""),0)</f>
        <v>0</v>
      </c>
      <c r="AQ86" s="77" t="n">
        <f aca="false">IFERROR(__xludf.dummyfunction("""COMPUTED_VALUE"""),151169)</f>
        <v>151169</v>
      </c>
      <c r="AR86" s="77" t="n">
        <f aca="false">IFERROR(__xludf.dummyfunction("""COMPUTED_VALUE"""),3719)</f>
        <v>3719</v>
      </c>
      <c r="AS86" s="77" t="n">
        <f aca="false">IFERROR(__xludf.dummyfunction("""COMPUTED_VALUE"""),405203)</f>
        <v>405203</v>
      </c>
      <c r="AT86" s="77" t="n">
        <f aca="false">IFERROR(__xludf.dummyfunction("""COMPUTED_VALUE"""),802551)</f>
        <v>802551</v>
      </c>
      <c r="AU86" s="77" t="n">
        <f aca="false">IFERROR(__xludf.dummyfunction("""COMPUTED_VALUE"""),347802)</f>
        <v>347802</v>
      </c>
      <c r="AV86" s="77" t="n">
        <f aca="false">IFERROR(__xludf.dummyfunction("""COMPUTED_VALUE"""),0)</f>
        <v>0</v>
      </c>
      <c r="AW86" s="77" t="n">
        <f aca="false">IFERROR(__xludf.dummyfunction("""COMPUTED_VALUE"""),200911)</f>
        <v>200911</v>
      </c>
      <c r="AX86" s="77" t="n">
        <f aca="false">IFERROR(__xludf.dummyfunction("""COMPUTED_VALUE"""),105035)</f>
        <v>105035</v>
      </c>
      <c r="AY86" s="77" t="n">
        <f aca="false">IFERROR(__xludf.dummyfunction("""COMPUTED_VALUE"""),3322)</f>
        <v>3322</v>
      </c>
      <c r="AZ86" s="77" t="n">
        <f aca="false">IFERROR(__xludf.dummyfunction("""COMPUTED_VALUE"""),59897)</f>
        <v>59897</v>
      </c>
      <c r="BA86" s="77" t="n">
        <f aca="false">IFERROR(__xludf.dummyfunction("""COMPUTED_VALUE"""),16905)</f>
        <v>16905</v>
      </c>
    </row>
    <row r="87" customFormat="false" ht="15.75" hidden="false" customHeight="false" outlineLevel="0" collapsed="false">
      <c r="A87" s="78" t="str">
        <f aca="false">IFERROR(__xludf.dummyfunction("""COMPUTED_VALUE"""),"feature_sq_ft")</f>
        <v>feature_sq_ft</v>
      </c>
      <c r="B87" s="72" t="n">
        <f aca="false">IFERROR(__xludf.dummyfunction("""COMPUTED_VALUE"""),6805858)</f>
        <v>6805858</v>
      </c>
      <c r="C87" s="73" t="n">
        <f aca="false">IFERROR(__xludf.dummyfunction("""COMPUTED_VALUE"""),124614)</f>
        <v>124614</v>
      </c>
      <c r="D87" s="70" t="n">
        <f aca="false">IFERROR(__xludf.dummyfunction("""COMPUTED_VALUE"""),33557)</f>
        <v>33557</v>
      </c>
      <c r="E87" s="70" t="n">
        <f aca="false">IFERROR(__xludf.dummyfunction("""COMPUTED_VALUE"""),82613)</f>
        <v>82613</v>
      </c>
      <c r="F87" s="70" t="n">
        <f aca="false">IFERROR(__xludf.dummyfunction("""COMPUTED_VALUE"""),780249)</f>
        <v>780249</v>
      </c>
      <c r="G87" s="70" t="n">
        <f aca="false">IFERROR(__xludf.dummyfunction("""COMPUTED_VALUE"""),0)</f>
        <v>0</v>
      </c>
      <c r="H87" s="70" t="n">
        <f aca="false">IFERROR(__xludf.dummyfunction("""COMPUTED_VALUE"""),3217)</f>
        <v>3217</v>
      </c>
      <c r="I87" s="70" t="n">
        <f aca="false">IFERROR(__xludf.dummyfunction("""COMPUTED_VALUE"""),0)</f>
        <v>0</v>
      </c>
      <c r="J87" s="70" t="n">
        <f aca="false">IFERROR(__xludf.dummyfunction("""COMPUTED_VALUE"""),7030)</f>
        <v>7030</v>
      </c>
      <c r="K87" s="70" t="n">
        <f aca="false">IFERROR(__xludf.dummyfunction("""COMPUTED_VALUE"""),0)</f>
        <v>0</v>
      </c>
      <c r="L87" s="70" t="n">
        <f aca="false">IFERROR(__xludf.dummyfunction("""COMPUTED_VALUE"""),2061885)</f>
        <v>2061885</v>
      </c>
      <c r="M87" s="70" t="n">
        <f aca="false">IFERROR(__xludf.dummyfunction("""COMPUTED_VALUE"""),322624)</f>
        <v>322624</v>
      </c>
      <c r="N87" s="70" t="n">
        <f aca="false">IFERROR(__xludf.dummyfunction("""COMPUTED_VALUE"""),8921)</f>
        <v>8921</v>
      </c>
      <c r="O87" s="70" t="n">
        <f aca="false">IFERROR(__xludf.dummyfunction("""COMPUTED_VALUE"""),50844)</f>
        <v>50844</v>
      </c>
      <c r="P87" s="70" t="n">
        <f aca="false">IFERROR(__xludf.dummyfunction("""COMPUTED_VALUE"""),109983)</f>
        <v>109983</v>
      </c>
      <c r="Q87" s="70" t="n">
        <f aca="false">IFERROR(__xludf.dummyfunction("""COMPUTED_VALUE"""),437)</f>
        <v>437</v>
      </c>
      <c r="R87" s="70" t="n">
        <f aca="false">IFERROR(__xludf.dummyfunction("""COMPUTED_VALUE"""),10937)</f>
        <v>10937</v>
      </c>
      <c r="S87" s="70" t="n">
        <f aca="false">IFERROR(__xludf.dummyfunction("""COMPUTED_VALUE"""),19444)</f>
        <v>19444</v>
      </c>
      <c r="T87" s="70" t="n">
        <f aca="false">IFERROR(__xludf.dummyfunction("""COMPUTED_VALUE"""),8573)</f>
        <v>8573</v>
      </c>
      <c r="U87" s="70" t="n">
        <f aca="false">IFERROR(__xludf.dummyfunction("""COMPUTED_VALUE"""),345)</f>
        <v>345</v>
      </c>
      <c r="V87" s="70" t="n">
        <f aca="false">IFERROR(__xludf.dummyfunction("""COMPUTED_VALUE"""),0)</f>
        <v>0</v>
      </c>
      <c r="W87" s="70" t="n">
        <f aca="false">IFERROR(__xludf.dummyfunction("""COMPUTED_VALUE"""),148)</f>
        <v>148</v>
      </c>
      <c r="X87" s="70" t="n">
        <f aca="false">IFERROR(__xludf.dummyfunction("""COMPUTED_VALUE"""),38)</f>
        <v>38</v>
      </c>
      <c r="Y87" s="70" t="n">
        <f aca="false">IFERROR(__xludf.dummyfunction("""COMPUTED_VALUE"""),49198)</f>
        <v>49198</v>
      </c>
      <c r="Z87" s="70" t="n">
        <f aca="false">IFERROR(__xludf.dummyfunction("""COMPUTED_VALUE"""),52534)</f>
        <v>52534</v>
      </c>
      <c r="AA87" s="70" t="n">
        <f aca="false">IFERROR(__xludf.dummyfunction("""COMPUTED_VALUE"""),12971)</f>
        <v>12971</v>
      </c>
      <c r="AB87" s="70" t="n">
        <f aca="false">IFERROR(__xludf.dummyfunction("""COMPUTED_VALUE"""),73906)</f>
        <v>73906</v>
      </c>
      <c r="AC87" s="70" t="n">
        <f aca="false">IFERROR(__xludf.dummyfunction("""COMPUTED_VALUE"""),199905)</f>
        <v>199905</v>
      </c>
      <c r="AD87" s="70" t="n">
        <f aca="false">IFERROR(__xludf.dummyfunction("""COMPUTED_VALUE"""),248960)</f>
        <v>248960</v>
      </c>
      <c r="AE87" s="70" t="n">
        <f aca="false">IFERROR(__xludf.dummyfunction("""COMPUTED_VALUE"""),692260)</f>
        <v>692260</v>
      </c>
      <c r="AF87" s="70" t="n">
        <f aca="false">IFERROR(__xludf.dummyfunction("""COMPUTED_VALUE"""),0)</f>
        <v>0</v>
      </c>
      <c r="AG87" s="70" t="n">
        <f aca="false">IFERROR(__xludf.dummyfunction("""COMPUTED_VALUE"""),0)</f>
        <v>0</v>
      </c>
      <c r="AH87" s="70" t="n">
        <f aca="false">IFERROR(__xludf.dummyfunction("""COMPUTED_VALUE"""),8757)</f>
        <v>8757</v>
      </c>
      <c r="AI87" s="70" t="n">
        <f aca="false">IFERROR(__xludf.dummyfunction("""COMPUTED_VALUE"""),100891)</f>
        <v>100891</v>
      </c>
      <c r="AJ87" s="70" t="n">
        <f aca="false">IFERROR(__xludf.dummyfunction("""COMPUTED_VALUE"""),281063)</f>
        <v>281063</v>
      </c>
      <c r="AK87" s="70" t="n">
        <f aca="false">IFERROR(__xludf.dummyfunction("""COMPUTED_VALUE"""),73)</f>
        <v>73</v>
      </c>
      <c r="AL87" s="70" t="n">
        <f aca="false">IFERROR(__xludf.dummyfunction("""COMPUTED_VALUE"""),12629)</f>
        <v>12629</v>
      </c>
      <c r="AM87" s="70" t="n">
        <f aca="false">IFERROR(__xludf.dummyfunction("""COMPUTED_VALUE"""),115130)</f>
        <v>115130</v>
      </c>
      <c r="AN87" s="70" t="n">
        <f aca="false">IFERROR(__xludf.dummyfunction("""COMPUTED_VALUE"""),364106)</f>
        <v>364106</v>
      </c>
      <c r="AO87" s="70" t="n">
        <f aca="false">IFERROR(__xludf.dummyfunction("""COMPUTED_VALUE"""),60473)</f>
        <v>60473</v>
      </c>
      <c r="AP87" s="70" t="n">
        <f aca="false">IFERROR(__xludf.dummyfunction("""COMPUTED_VALUE"""),0)</f>
        <v>0</v>
      </c>
      <c r="AQ87" s="70" t="n">
        <f aca="false">IFERROR(__xludf.dummyfunction("""COMPUTED_VALUE"""),118782)</f>
        <v>118782</v>
      </c>
      <c r="AR87" s="70" t="n">
        <f aca="false">IFERROR(__xludf.dummyfunction("""COMPUTED_VALUE"""),2699)</f>
        <v>2699</v>
      </c>
      <c r="AS87" s="70" t="n">
        <f aca="false">IFERROR(__xludf.dummyfunction("""COMPUTED_VALUE"""),341765)</f>
        <v>341765</v>
      </c>
      <c r="AT87" s="70" t="n">
        <f aca="false">IFERROR(__xludf.dummyfunction("""COMPUTED_VALUE"""),209502)</f>
        <v>209502</v>
      </c>
      <c r="AU87" s="70" t="n">
        <f aca="false">IFERROR(__xludf.dummyfunction("""COMPUTED_VALUE"""),41603)</f>
        <v>41603</v>
      </c>
      <c r="AV87" s="70" t="n">
        <f aca="false">IFERROR(__xludf.dummyfunction("""COMPUTED_VALUE"""),0)</f>
        <v>0</v>
      </c>
      <c r="AW87" s="70" t="n">
        <f aca="false">IFERROR(__xludf.dummyfunction("""COMPUTED_VALUE"""),35451)</f>
        <v>35451</v>
      </c>
      <c r="AX87" s="70" t="n">
        <f aca="false">IFERROR(__xludf.dummyfunction("""COMPUTED_VALUE"""),79130)</f>
        <v>79130</v>
      </c>
      <c r="AY87" s="70" t="n">
        <f aca="false">IFERROR(__xludf.dummyfunction("""COMPUTED_VALUE"""),3318)</f>
        <v>3318</v>
      </c>
      <c r="AZ87" s="70" t="n">
        <f aca="false">IFERROR(__xludf.dummyfunction("""COMPUTED_VALUE"""),58633)</f>
        <v>58633</v>
      </c>
      <c r="BA87" s="70" t="n">
        <f aca="false">IFERROR(__xludf.dummyfunction("""COMPUTED_VALUE"""),16660)</f>
        <v>16660</v>
      </c>
    </row>
    <row r="88" customFormat="false" ht="15.75" hidden="false" customHeight="false" outlineLevel="0" collapsed="false">
      <c r="B88" s="59"/>
      <c r="C88" s="79"/>
      <c r="D88" s="80"/>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row>
    <row r="89" customFormat="false" ht="15.75" hidden="false" customHeight="false" outlineLevel="0" collapsed="false">
      <c r="A89" s="74" t="s">
        <v>1814</v>
      </c>
      <c r="B89" s="7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row>
    <row r="90" customFormat="false" ht="15.75" hidden="false" customHeight="false" outlineLevel="0" collapsed="false">
      <c r="A90" s="75" t="str">
        <f aca="false">IFERROR(__xludf.dummyfunction("TRANSPOSE(IMPORTRANGE(""https://docs.google.com/spreadsheets/d/1sNrf4xlwHQ-LujHTd1_nLHq6duGtTzjk33k9jntfg4c"", ""'Other Improvements'!F4:G56""))"),"impr_type")</f>
        <v>impr_type</v>
      </c>
      <c r="B90" s="56" t="n">
        <f aca="false">IFERROR(__xludf.dummyfunction("""COMPUTED_VALUE"""),36504172)</f>
        <v>36504172</v>
      </c>
      <c r="C90" s="76" t="n">
        <f aca="false">IFERROR(__xludf.dummyfunction("""COMPUTED_VALUE"""),633680)</f>
        <v>633680</v>
      </c>
      <c r="D90" s="77" t="n">
        <f aca="false">IFERROR(__xludf.dummyfunction("""COMPUTED_VALUE"""),102903)</f>
        <v>102903</v>
      </c>
      <c r="E90" s="77" t="n">
        <f aca="false">IFERROR(__xludf.dummyfunction("""COMPUTED_VALUE"""),1331834)</f>
        <v>1331834</v>
      </c>
      <c r="F90" s="77" t="n">
        <f aca="false">IFERROR(__xludf.dummyfunction("""COMPUTED_VALUE"""),961681)</f>
        <v>961681</v>
      </c>
      <c r="G90" s="77" t="n">
        <f aca="false">IFERROR(__xludf.dummyfunction("""COMPUTED_VALUE"""),744113)</f>
        <v>744113</v>
      </c>
      <c r="H90" s="77" t="n">
        <f aca="false">IFERROR(__xludf.dummyfunction("""COMPUTED_VALUE"""),690517)</f>
        <v>690517</v>
      </c>
      <c r="I90" s="77" t="n">
        <f aca="false">IFERROR(__xludf.dummyfunction("""COMPUTED_VALUE"""),975879)</f>
        <v>975879</v>
      </c>
      <c r="J90" s="77" t="n">
        <f aca="false">IFERROR(__xludf.dummyfunction("""COMPUTED_VALUE"""),98591)</f>
        <v>98591</v>
      </c>
      <c r="K90" s="77" t="n">
        <f aca="false">IFERROR(__xludf.dummyfunction("""COMPUTED_VALUE"""),0)</f>
        <v>0</v>
      </c>
      <c r="L90" s="77" t="n">
        <f aca="false">IFERROR(__xludf.dummyfunction("""COMPUTED_VALUE"""),3360373)</f>
        <v>3360373</v>
      </c>
      <c r="M90" s="77" t="n">
        <f aca="false">IFERROR(__xludf.dummyfunction("""COMPUTED_VALUE"""),1319839)</f>
        <v>1319839</v>
      </c>
      <c r="N90" s="77" t="n">
        <f aca="false">IFERROR(__xludf.dummyfunction("""COMPUTED_VALUE"""),85956)</f>
        <v>85956</v>
      </c>
      <c r="O90" s="77" t="n">
        <f aca="false">IFERROR(__xludf.dummyfunction("""COMPUTED_VALUE"""),354161)</f>
        <v>354161</v>
      </c>
      <c r="P90" s="77" t="n">
        <f aca="false">IFERROR(__xludf.dummyfunction("""COMPUTED_VALUE"""),312638)</f>
        <v>312638</v>
      </c>
      <c r="Q90" s="77" t="n">
        <f aca="false">IFERROR(__xludf.dummyfunction("""COMPUTED_VALUE"""),1055366)</f>
        <v>1055366</v>
      </c>
      <c r="R90" s="77" t="n">
        <f aca="false">IFERROR(__xludf.dummyfunction("""COMPUTED_VALUE"""),865696)</f>
        <v>865696</v>
      </c>
      <c r="S90" s="77" t="n">
        <f aca="false">IFERROR(__xludf.dummyfunction("""COMPUTED_VALUE"""),673990)</f>
        <v>673990</v>
      </c>
      <c r="T90" s="77" t="n">
        <f aca="false">IFERROR(__xludf.dummyfunction("""COMPUTED_VALUE"""),552708)</f>
        <v>552708</v>
      </c>
      <c r="U90" s="77" t="n">
        <f aca="false">IFERROR(__xludf.dummyfunction("""COMPUTED_VALUE"""),70972)</f>
        <v>70972</v>
      </c>
      <c r="V90" s="77" t="n">
        <f aca="false">IFERROR(__xludf.dummyfunction("""COMPUTED_VALUE"""),272043)</f>
        <v>272043</v>
      </c>
      <c r="W90" s="77" t="n">
        <f aca="false">IFERROR(__xludf.dummyfunction("""COMPUTED_VALUE"""),1047735)</f>
        <v>1047735</v>
      </c>
      <c r="X90" s="77" t="n">
        <f aca="false">IFERROR(__xludf.dummyfunction("""COMPUTED_VALUE"""),1326778)</f>
        <v>1326778</v>
      </c>
      <c r="Y90" s="77" t="n">
        <f aca="false">IFERROR(__xludf.dummyfunction("""COMPUTED_VALUE"""),466940)</f>
        <v>466940</v>
      </c>
      <c r="Z90" s="77" t="n">
        <f aca="false">IFERROR(__xludf.dummyfunction("""COMPUTED_VALUE"""),922773)</f>
        <v>922773</v>
      </c>
      <c r="AA90" s="77" t="n">
        <f aca="false">IFERROR(__xludf.dummyfunction("""COMPUTED_VALUE"""),493480)</f>
        <v>493480</v>
      </c>
      <c r="AB90" s="77" t="n">
        <f aca="false">IFERROR(__xludf.dummyfunction("""COMPUTED_VALUE"""),1074670)</f>
        <v>1074670</v>
      </c>
      <c r="AC90" s="77" t="n">
        <f aca="false">IFERROR(__xludf.dummyfunction("""COMPUTED_VALUE"""),310101)</f>
        <v>310101</v>
      </c>
      <c r="AD90" s="77" t="n">
        <f aca="false">IFERROR(__xludf.dummyfunction("""COMPUTED_VALUE"""),369453)</f>
        <v>369453</v>
      </c>
      <c r="AE90" s="77" t="n">
        <f aca="false">IFERROR(__xludf.dummyfunction("""COMPUTED_VALUE"""),306033)</f>
        <v>306033</v>
      </c>
      <c r="AF90" s="77" t="n">
        <f aca="false">IFERROR(__xludf.dummyfunction("""COMPUTED_VALUE"""),336399)</f>
        <v>336399</v>
      </c>
      <c r="AG90" s="77" t="n">
        <f aca="false">IFERROR(__xludf.dummyfunction("""COMPUTED_VALUE"""),150154)</f>
        <v>150154</v>
      </c>
      <c r="AH90" s="77" t="n">
        <f aca="false">IFERROR(__xludf.dummyfunction("""COMPUTED_VALUE"""),36247)</f>
        <v>36247</v>
      </c>
      <c r="AI90" s="77" t="n">
        <f aca="false">IFERROR(__xludf.dummyfunction("""COMPUTED_VALUE"""),1351421)</f>
        <v>1351421</v>
      </c>
      <c r="AJ90" s="77" t="n">
        <f aca="false">IFERROR(__xludf.dummyfunction("""COMPUTED_VALUE"""),1364205)</f>
        <v>1364205</v>
      </c>
      <c r="AK90" s="77" t="n">
        <f aca="false">IFERROR(__xludf.dummyfunction("""COMPUTED_VALUE"""),37509)</f>
        <v>37509</v>
      </c>
      <c r="AL90" s="77" t="n">
        <f aca="false">IFERROR(__xludf.dummyfunction("""COMPUTED_VALUE"""),1897455)</f>
        <v>1897455</v>
      </c>
      <c r="AM90" s="77" t="n">
        <f aca="false">IFERROR(__xludf.dummyfunction("""COMPUTED_VALUE"""),790033)</f>
        <v>790033</v>
      </c>
      <c r="AN90" s="77" t="n">
        <f aca="false">IFERROR(__xludf.dummyfunction("""COMPUTED_VALUE"""),646845)</f>
        <v>646845</v>
      </c>
      <c r="AO90" s="77" t="n">
        <f aca="false">IFERROR(__xludf.dummyfunction("""COMPUTED_VALUE"""),583934)</f>
        <v>583934</v>
      </c>
      <c r="AP90" s="77" t="n">
        <f aca="false">IFERROR(__xludf.dummyfunction("""COMPUTED_VALUE"""),260092)</f>
        <v>260092</v>
      </c>
      <c r="AQ90" s="77" t="n">
        <f aca="false">IFERROR(__xludf.dummyfunction("""COMPUTED_VALUE"""),385387)</f>
        <v>385387</v>
      </c>
      <c r="AR90" s="77" t="n">
        <f aca="false">IFERROR(__xludf.dummyfunction("""COMPUTED_VALUE"""),100394)</f>
        <v>100394</v>
      </c>
      <c r="AS90" s="77" t="n">
        <f aca="false">IFERROR(__xludf.dummyfunction("""COMPUTED_VALUE"""),1612628)</f>
        <v>1612628</v>
      </c>
      <c r="AT90" s="77" t="n">
        <f aca="false">IFERROR(__xludf.dummyfunction("""COMPUTED_VALUE"""),2790081)</f>
        <v>2790081</v>
      </c>
      <c r="AU90" s="77" t="n">
        <f aca="false">IFERROR(__xludf.dummyfunction("""COMPUTED_VALUE"""),351821)</f>
        <v>351821</v>
      </c>
      <c r="AV90" s="77" t="n">
        <f aca="false">IFERROR(__xludf.dummyfunction("""COMPUTED_VALUE"""),29248)</f>
        <v>29248</v>
      </c>
      <c r="AW90" s="77" t="n">
        <f aca="false">IFERROR(__xludf.dummyfunction("""COMPUTED_VALUE"""),1358439)</f>
        <v>1358439</v>
      </c>
      <c r="AX90" s="77" t="n">
        <f aca="false">IFERROR(__xludf.dummyfunction("""COMPUTED_VALUE"""),1252706)</f>
        <v>1252706</v>
      </c>
      <c r="AY90" s="77" t="n">
        <f aca="false">IFERROR(__xludf.dummyfunction("""COMPUTED_VALUE"""),33454)</f>
        <v>33454</v>
      </c>
      <c r="AZ90" s="77" t="n">
        <f aca="false">IFERROR(__xludf.dummyfunction("""COMPUTED_VALUE"""),193548)</f>
        <v>193548</v>
      </c>
      <c r="BA90" s="77" t="n">
        <f aca="false">IFERROR(__xludf.dummyfunction("""COMPUTED_VALUE"""),161269)</f>
        <v>161269</v>
      </c>
    </row>
    <row r="91" customFormat="false" ht="15.75" hidden="false" customHeight="false" outlineLevel="0" collapsed="false">
      <c r="A91" s="78" t="str">
        <f aca="false">IFERROR(__xludf.dummyfunction("""COMPUTED_VALUE"""),"impr_sq_ft")</f>
        <v>impr_sq_ft</v>
      </c>
      <c r="B91" s="72" t="n">
        <f aca="false">IFERROR(__xludf.dummyfunction("""COMPUTED_VALUE"""),30375081)</f>
        <v>30375081</v>
      </c>
      <c r="C91" s="73" t="n">
        <f aca="false">IFERROR(__xludf.dummyfunction("""COMPUTED_VALUE"""),597607)</f>
        <v>597607</v>
      </c>
      <c r="D91" s="70" t="n">
        <f aca="false">IFERROR(__xludf.dummyfunction("""COMPUTED_VALUE"""),101093)</f>
        <v>101093</v>
      </c>
      <c r="E91" s="70" t="n">
        <f aca="false">IFERROR(__xludf.dummyfunction("""COMPUTED_VALUE"""),590834)</f>
        <v>590834</v>
      </c>
      <c r="F91" s="70" t="n">
        <f aca="false">IFERROR(__xludf.dummyfunction("""COMPUTED_VALUE"""),864635)</f>
        <v>864635</v>
      </c>
      <c r="G91" s="70" t="n">
        <f aca="false">IFERROR(__xludf.dummyfunction("""COMPUTED_VALUE"""),524820)</f>
        <v>524820</v>
      </c>
      <c r="H91" s="70" t="n">
        <f aca="false">IFERROR(__xludf.dummyfunction("""COMPUTED_VALUE"""),653698)</f>
        <v>653698</v>
      </c>
      <c r="I91" s="70" t="n">
        <f aca="false">IFERROR(__xludf.dummyfunction("""COMPUTED_VALUE"""),0)</f>
        <v>0</v>
      </c>
      <c r="J91" s="70" t="n">
        <f aca="false">IFERROR(__xludf.dummyfunction("""COMPUTED_VALUE"""),96818)</f>
        <v>96818</v>
      </c>
      <c r="K91" s="70" t="n">
        <f aca="false">IFERROR(__xludf.dummyfunction("""COMPUTED_VALUE"""),0)</f>
        <v>0</v>
      </c>
      <c r="L91" s="70" t="n">
        <f aca="false">IFERROR(__xludf.dummyfunction("""COMPUTED_VALUE"""),3013161)</f>
        <v>3013161</v>
      </c>
      <c r="M91" s="70" t="n">
        <f aca="false">IFERROR(__xludf.dummyfunction("""COMPUTED_VALUE"""),1255859)</f>
        <v>1255859</v>
      </c>
      <c r="N91" s="70" t="n">
        <f aca="false">IFERROR(__xludf.dummyfunction("""COMPUTED_VALUE"""),85933)</f>
        <v>85933</v>
      </c>
      <c r="O91" s="70" t="n">
        <f aca="false">IFERROR(__xludf.dummyfunction("""COMPUTED_VALUE"""),318221)</f>
        <v>318221</v>
      </c>
      <c r="P91" s="70" t="n">
        <f aca="false">IFERROR(__xludf.dummyfunction("""COMPUTED_VALUE"""),289602)</f>
        <v>289602</v>
      </c>
      <c r="Q91" s="70" t="n">
        <f aca="false">IFERROR(__xludf.dummyfunction("""COMPUTED_VALUE"""),935048)</f>
        <v>935048</v>
      </c>
      <c r="R91" s="70" t="n">
        <f aca="false">IFERROR(__xludf.dummyfunction("""COMPUTED_VALUE"""),803693)</f>
        <v>803693</v>
      </c>
      <c r="S91" s="70" t="n">
        <f aca="false">IFERROR(__xludf.dummyfunction("""COMPUTED_VALUE"""),672658)</f>
        <v>672658</v>
      </c>
      <c r="T91" s="70" t="n">
        <f aca="false">IFERROR(__xludf.dummyfunction("""COMPUTED_VALUE"""),426992)</f>
        <v>426992</v>
      </c>
      <c r="U91" s="70" t="n">
        <f aca="false">IFERROR(__xludf.dummyfunction("""COMPUTED_VALUE"""),67179)</f>
        <v>67179</v>
      </c>
      <c r="V91" s="70" t="n">
        <f aca="false">IFERROR(__xludf.dummyfunction("""COMPUTED_VALUE"""),0)</f>
        <v>0</v>
      </c>
      <c r="W91" s="70" t="n">
        <f aca="false">IFERROR(__xludf.dummyfunction("""COMPUTED_VALUE"""),1047707)</f>
        <v>1047707</v>
      </c>
      <c r="X91" s="70" t="n">
        <f aca="false">IFERROR(__xludf.dummyfunction("""COMPUTED_VALUE"""),2179)</f>
        <v>2179</v>
      </c>
      <c r="Y91" s="70" t="n">
        <f aca="false">IFERROR(__xludf.dummyfunction("""COMPUTED_VALUE"""),416448)</f>
        <v>416448</v>
      </c>
      <c r="Z91" s="70" t="n">
        <f aca="false">IFERROR(__xludf.dummyfunction("""COMPUTED_VALUE"""),800793)</f>
        <v>800793</v>
      </c>
      <c r="AA91" s="70" t="n">
        <f aca="false">IFERROR(__xludf.dummyfunction("""COMPUTED_VALUE"""),469964)</f>
        <v>469964</v>
      </c>
      <c r="AB91" s="70" t="n">
        <f aca="false">IFERROR(__xludf.dummyfunction("""COMPUTED_VALUE"""),1015144)</f>
        <v>1015144</v>
      </c>
      <c r="AC91" s="70" t="n">
        <f aca="false">IFERROR(__xludf.dummyfunction("""COMPUTED_VALUE"""),309431)</f>
        <v>309431</v>
      </c>
      <c r="AD91" s="70" t="n">
        <f aca="false">IFERROR(__xludf.dummyfunction("""COMPUTED_VALUE"""),367294)</f>
        <v>367294</v>
      </c>
      <c r="AE91" s="70" t="n">
        <f aca="false">IFERROR(__xludf.dummyfunction("""COMPUTED_VALUE"""),305643)</f>
        <v>305643</v>
      </c>
      <c r="AF91" s="70" t="n">
        <f aca="false">IFERROR(__xludf.dummyfunction("""COMPUTED_VALUE"""),0)</f>
        <v>0</v>
      </c>
      <c r="AG91" s="70" t="n">
        <f aca="false">IFERROR(__xludf.dummyfunction("""COMPUTED_VALUE"""),150154)</f>
        <v>150154</v>
      </c>
      <c r="AH91" s="70" t="n">
        <f aca="false">IFERROR(__xludf.dummyfunction("""COMPUTED_VALUE"""),34539)</f>
        <v>34539</v>
      </c>
      <c r="AI91" s="70" t="n">
        <f aca="false">IFERROR(__xludf.dummyfunction("""COMPUTED_VALUE"""),1343080)</f>
        <v>1343080</v>
      </c>
      <c r="AJ91" s="70" t="n">
        <f aca="false">IFERROR(__xludf.dummyfunction("""COMPUTED_VALUE"""),1200367)</f>
        <v>1200367</v>
      </c>
      <c r="AK91" s="70" t="n">
        <f aca="false">IFERROR(__xludf.dummyfunction("""COMPUTED_VALUE"""),18311)</f>
        <v>18311</v>
      </c>
      <c r="AL91" s="70" t="n">
        <f aca="false">IFERROR(__xludf.dummyfunction("""COMPUTED_VALUE"""),1843922)</f>
        <v>1843922</v>
      </c>
      <c r="AM91" s="70" t="n">
        <f aca="false">IFERROR(__xludf.dummyfunction("""COMPUTED_VALUE"""),749383)</f>
        <v>749383</v>
      </c>
      <c r="AN91" s="70" t="n">
        <f aca="false">IFERROR(__xludf.dummyfunction("""COMPUTED_VALUE"""),616083)</f>
        <v>616083</v>
      </c>
      <c r="AO91" s="70" t="n">
        <f aca="false">IFERROR(__xludf.dummyfunction("""COMPUTED_VALUE"""),454347)</f>
        <v>454347</v>
      </c>
      <c r="AP91" s="70" t="n">
        <f aca="false">IFERROR(__xludf.dummyfunction("""COMPUTED_VALUE"""),0)</f>
        <v>0</v>
      </c>
      <c r="AQ91" s="70" t="n">
        <f aca="false">IFERROR(__xludf.dummyfunction("""COMPUTED_VALUE"""),338879)</f>
        <v>338879</v>
      </c>
      <c r="AR91" s="70" t="n">
        <f aca="false">IFERROR(__xludf.dummyfunction("""COMPUTED_VALUE"""),95355)</f>
        <v>95355</v>
      </c>
      <c r="AS91" s="70" t="n">
        <f aca="false">IFERROR(__xludf.dummyfunction("""COMPUTED_VALUE"""),1609265)</f>
        <v>1609265</v>
      </c>
      <c r="AT91" s="70" t="n">
        <f aca="false">IFERROR(__xludf.dummyfunction("""COMPUTED_VALUE"""),2723735)</f>
        <v>2723735</v>
      </c>
      <c r="AU91" s="70" t="n">
        <f aca="false">IFERROR(__xludf.dummyfunction("""COMPUTED_VALUE"""),339456)</f>
        <v>339456</v>
      </c>
      <c r="AV91" s="70" t="n">
        <f aca="false">IFERROR(__xludf.dummyfunction("""COMPUTED_VALUE"""),0)</f>
        <v>0</v>
      </c>
      <c r="AW91" s="70" t="n">
        <f aca="false">IFERROR(__xludf.dummyfunction("""COMPUTED_VALUE"""),1230676)</f>
        <v>1230676</v>
      </c>
      <c r="AX91" s="70" t="n">
        <f aca="false">IFERROR(__xludf.dummyfunction("""COMPUTED_VALUE"""),1217398)</f>
        <v>1217398</v>
      </c>
      <c r="AY91" s="70" t="n">
        <f aca="false">IFERROR(__xludf.dummyfunction("""COMPUTED_VALUE"""),33306)</f>
        <v>33306</v>
      </c>
      <c r="AZ91" s="70" t="n">
        <f aca="false">IFERROR(__xludf.dummyfunction("""COMPUTED_VALUE"""),183682)</f>
        <v>183682</v>
      </c>
      <c r="BA91" s="70" t="n">
        <f aca="false">IFERROR(__xludf.dummyfunction("""COMPUTED_VALUE"""),160689)</f>
        <v>160689</v>
      </c>
    </row>
    <row r="92" customFormat="false" ht="15.75" hidden="false" customHeight="false" outlineLevel="0" collapsed="false">
      <c r="B92" s="59"/>
      <c r="C92" s="79"/>
      <c r="D92" s="80"/>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row>
    <row r="93" customFormat="false" ht="15.75" hidden="false" customHeight="false" outlineLevel="0" collapsed="false">
      <c r="A93" s="74" t="s">
        <v>1815</v>
      </c>
      <c r="B93" s="7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row>
    <row r="94" customFormat="false" ht="15.75" hidden="false" customHeight="false" outlineLevel="0" collapsed="false">
      <c r="A94" s="75" t="str">
        <f aca="false">IFERROR(__xludf.dummyfunction("TRANSPOSE(IMPORTRANGE(""https://docs.google.com/spreadsheets/d/1sNrf4xlwHQ-LujHTd1_nLHq6duGtTzjk33k9jntfg4c"", ""'Taxes'!F4:I56""))"),"year")</f>
        <v>year</v>
      </c>
      <c r="B94" s="56" t="n">
        <f aca="false">IFERROR(__xludf.dummyfunction("""COMPUTED_VALUE"""),120182729)</f>
        <v>120182729</v>
      </c>
      <c r="C94" s="76" t="n">
        <f aca="false">IFERROR(__xludf.dummyfunction("""COMPUTED_VALUE"""),2480917)</f>
        <v>2480917</v>
      </c>
      <c r="D94" s="77" t="n">
        <f aca="false">IFERROR(__xludf.dummyfunction("""COMPUTED_VALUE"""),251504)</f>
        <v>251504</v>
      </c>
      <c r="E94" s="77" t="n">
        <f aca="false">IFERROR(__xludf.dummyfunction("""COMPUTED_VALUE"""),2506598)</f>
        <v>2506598</v>
      </c>
      <c r="F94" s="77" t="n">
        <f aca="false">IFERROR(__xludf.dummyfunction("""COMPUTED_VALUE"""),1289385)</f>
        <v>1289385</v>
      </c>
      <c r="G94" s="77" t="n">
        <f aca="false">IFERROR(__xludf.dummyfunction("""COMPUTED_VALUE"""),10561539)</f>
        <v>10561539</v>
      </c>
      <c r="H94" s="77" t="n">
        <f aca="false">IFERROR(__xludf.dummyfunction("""COMPUTED_VALUE"""),2517237)</f>
        <v>2517237</v>
      </c>
      <c r="I94" s="77" t="n">
        <f aca="false">IFERROR(__xludf.dummyfunction("""COMPUTED_VALUE"""),1245560)</f>
        <v>1245560</v>
      </c>
      <c r="J94" s="77" t="n">
        <f aca="false">IFERROR(__xludf.dummyfunction("""COMPUTED_VALUE"""),526975)</f>
        <v>526975</v>
      </c>
      <c r="K94" s="77" t="n">
        <f aca="false">IFERROR(__xludf.dummyfunction("""COMPUTED_VALUE"""),182094)</f>
        <v>182094</v>
      </c>
      <c r="L94" s="77" t="n">
        <f aca="false">IFERROR(__xludf.dummyfunction("""COMPUTED_VALUE"""),8308184)</f>
        <v>8308184</v>
      </c>
      <c r="M94" s="77" t="n">
        <f aca="false">IFERROR(__xludf.dummyfunction("""COMPUTED_VALUE"""),4400928)</f>
        <v>4400928</v>
      </c>
      <c r="N94" s="77" t="n">
        <f aca="false">IFERROR(__xludf.dummyfunction("""COMPUTED_VALUE"""),663099)</f>
        <v>663099</v>
      </c>
      <c r="O94" s="77" t="n">
        <f aca="false">IFERROR(__xludf.dummyfunction("""COMPUTED_VALUE"""),806758)</f>
        <v>806758</v>
      </c>
      <c r="P94" s="77" t="n">
        <f aca="false">IFERROR(__xludf.dummyfunction("""COMPUTED_VALUE"""),4448787)</f>
        <v>4448787</v>
      </c>
      <c r="Q94" s="77" t="n">
        <f aca="false">IFERROR(__xludf.dummyfunction("""COMPUTED_VALUE"""),2429727)</f>
        <v>2429727</v>
      </c>
      <c r="R94" s="77" t="n">
        <f aca="false">IFERROR(__xludf.dummyfunction("""COMPUTED_VALUE"""),1682282)</f>
        <v>1682282</v>
      </c>
      <c r="S94" s="77" t="n">
        <f aca="false">IFERROR(__xludf.dummyfunction("""COMPUTED_VALUE"""),864906)</f>
        <v>864906</v>
      </c>
      <c r="T94" s="77" t="n">
        <f aca="false">IFERROR(__xludf.dummyfunction("""COMPUTED_VALUE"""),2002528)</f>
        <v>2002528</v>
      </c>
      <c r="U94" s="77" t="n">
        <f aca="false">IFERROR(__xludf.dummyfunction("""COMPUTED_VALUE"""),1886843)</f>
        <v>1886843</v>
      </c>
      <c r="V94" s="77" t="n">
        <f aca="false">IFERROR(__xludf.dummyfunction("""COMPUTED_VALUE"""),683331)</f>
        <v>683331</v>
      </c>
      <c r="W94" s="77" t="n">
        <f aca="false">IFERROR(__xludf.dummyfunction("""COMPUTED_VALUE"""),2139907)</f>
        <v>2139907</v>
      </c>
      <c r="X94" s="77" t="n">
        <f aca="false">IFERROR(__xludf.dummyfunction("""COMPUTED_VALUE"""),2270433)</f>
        <v>2270433</v>
      </c>
      <c r="Y94" s="77" t="n">
        <f aca="false">IFERROR(__xludf.dummyfunction("""COMPUTED_VALUE"""),3537180)</f>
        <v>3537180</v>
      </c>
      <c r="Z94" s="77" t="n">
        <f aca="false">IFERROR(__xludf.dummyfunction("""COMPUTED_VALUE"""),2322249)</f>
        <v>2322249</v>
      </c>
      <c r="AA94" s="77" t="n">
        <f aca="false">IFERROR(__xludf.dummyfunction("""COMPUTED_VALUE"""),1418365)</f>
        <v>1418365</v>
      </c>
      <c r="AB94" s="77" t="n">
        <f aca="false">IFERROR(__xludf.dummyfunction("""COMPUTED_VALUE"""),2243395)</f>
        <v>2243395</v>
      </c>
      <c r="AC94" s="77" t="n">
        <f aca="false">IFERROR(__xludf.dummyfunction("""COMPUTED_VALUE"""),473928)</f>
        <v>473928</v>
      </c>
      <c r="AD94" s="77" t="n">
        <f aca="false">IFERROR(__xludf.dummyfunction("""COMPUTED_VALUE"""),778189)</f>
        <v>778189</v>
      </c>
      <c r="AE94" s="77" t="n">
        <f aca="false">IFERROR(__xludf.dummyfunction("""COMPUTED_VALUE"""),1010804)</f>
        <v>1010804</v>
      </c>
      <c r="AF94" s="77" t="n">
        <f aca="false">IFERROR(__xludf.dummyfunction("""COMPUTED_VALUE"""),596245)</f>
        <v>596245</v>
      </c>
      <c r="AG94" s="77" t="n">
        <f aca="false">IFERROR(__xludf.dummyfunction("""COMPUTED_VALUE"""),2873230)</f>
        <v>2873230</v>
      </c>
      <c r="AH94" s="77" t="n">
        <f aca="false">IFERROR(__xludf.dummyfunction("""COMPUTED_VALUE"""),1026998)</f>
        <v>1026998</v>
      </c>
      <c r="AI94" s="77" t="n">
        <f aca="false">IFERROR(__xludf.dummyfunction("""COMPUTED_VALUE"""),5646164)</f>
        <v>5646164</v>
      </c>
      <c r="AJ94" s="77" t="n">
        <f aca="false">IFERROR(__xludf.dummyfunction("""COMPUTED_VALUE"""),4418295)</f>
        <v>4418295</v>
      </c>
      <c r="AK94" s="77" t="n">
        <f aca="false">IFERROR(__xludf.dummyfunction("""COMPUTED_VALUE"""),256514)</f>
        <v>256514</v>
      </c>
      <c r="AL94" s="77" t="n">
        <f aca="false">IFERROR(__xludf.dummyfunction("""COMPUTED_VALUE"""),4390404)</f>
        <v>4390404</v>
      </c>
      <c r="AM94" s="77" t="n">
        <f aca="false">IFERROR(__xludf.dummyfunction("""COMPUTED_VALUE"""),2139477)</f>
        <v>2139477</v>
      </c>
      <c r="AN94" s="77" t="n">
        <f aca="false">IFERROR(__xludf.dummyfunction("""COMPUTED_VALUE"""),1641639)</f>
        <v>1641639</v>
      </c>
      <c r="AO94" s="77" t="n">
        <f aca="false">IFERROR(__xludf.dummyfunction("""COMPUTED_VALUE"""),5004881)</f>
        <v>5004881</v>
      </c>
      <c r="AP94" s="77" t="n">
        <f aca="false">IFERROR(__xludf.dummyfunction("""COMPUTED_VALUE"""),370769)</f>
        <v>370769</v>
      </c>
      <c r="AQ94" s="77" t="n">
        <f aca="false">IFERROR(__xludf.dummyfunction("""COMPUTED_VALUE"""),2439062)</f>
        <v>2439062</v>
      </c>
      <c r="AR94" s="77" t="n">
        <f aca="false">IFERROR(__xludf.dummyfunction("""COMPUTED_VALUE"""),215691)</f>
        <v>215691</v>
      </c>
      <c r="AS94" s="77" t="n">
        <f aca="false">IFERROR(__xludf.dummyfunction("""COMPUTED_VALUE"""),3402296)</f>
        <v>3402296</v>
      </c>
      <c r="AT94" s="77" t="n">
        <f aca="false">IFERROR(__xludf.dummyfunction("""COMPUTED_VALUE"""),8639839)</f>
        <v>8639839</v>
      </c>
      <c r="AU94" s="77" t="n">
        <f aca="false">IFERROR(__xludf.dummyfunction("""COMPUTED_VALUE"""),1124903)</f>
        <v>1124903</v>
      </c>
      <c r="AV94" s="77" t="n">
        <f aca="false">IFERROR(__xludf.dummyfunction("""COMPUTED_VALUE"""),286567)</f>
        <v>286567</v>
      </c>
      <c r="AW94" s="77" t="n">
        <f aca="false">IFERROR(__xludf.dummyfunction("""COMPUTED_VALUE"""),3259792)</f>
        <v>3259792</v>
      </c>
      <c r="AX94" s="77" t="n">
        <f aca="false">IFERROR(__xludf.dummyfunction("""COMPUTED_VALUE"""),2651201)</f>
        <v>2651201</v>
      </c>
      <c r="AY94" s="77" t="n">
        <f aca="false">IFERROR(__xludf.dummyfunction("""COMPUTED_VALUE"""),1054146)</f>
        <v>1054146</v>
      </c>
      <c r="AZ94" s="77" t="n">
        <f aca="false">IFERROR(__xludf.dummyfunction("""COMPUTED_VALUE"""),2543475)</f>
        <v>2543475</v>
      </c>
      <c r="BA94" s="77" t="n">
        <f aca="false">IFERROR(__xludf.dummyfunction("""COMPUTED_VALUE"""),250253)</f>
        <v>250253</v>
      </c>
    </row>
    <row r="95" customFormat="false" ht="15.75" hidden="false" customHeight="false" outlineLevel="0" collapsed="false">
      <c r="A95" s="78" t="str">
        <f aca="false">IFERROR(__xludf.dummyfunction("""COMPUTED_VALUE"""),"amount")</f>
        <v>amount</v>
      </c>
      <c r="B95" s="72" t="n">
        <f aca="false">IFERROR(__xludf.dummyfunction("""COMPUTED_VALUE"""),115972816)</f>
        <v>115972816</v>
      </c>
      <c r="C95" s="73" t="n">
        <f aca="false">IFERROR(__xludf.dummyfunction("""COMPUTED_VALUE"""),2229328)</f>
        <v>2229328</v>
      </c>
      <c r="D95" s="70" t="n">
        <f aca="false">IFERROR(__xludf.dummyfunction("""COMPUTED_VALUE"""),234634)</f>
        <v>234634</v>
      </c>
      <c r="E95" s="70" t="n">
        <f aca="false">IFERROR(__xludf.dummyfunction("""COMPUTED_VALUE"""),2489198)</f>
        <v>2489198</v>
      </c>
      <c r="F95" s="70" t="n">
        <f aca="false">IFERROR(__xludf.dummyfunction("""COMPUTED_VALUE"""),1242119)</f>
        <v>1242119</v>
      </c>
      <c r="G95" s="70" t="n">
        <f aca="false">IFERROR(__xludf.dummyfunction("""COMPUTED_VALUE"""),10323088)</f>
        <v>10323088</v>
      </c>
      <c r="H95" s="70" t="n">
        <f aca="false">IFERROR(__xludf.dummyfunction("""COMPUTED_VALUE"""),2491451)</f>
        <v>2491451</v>
      </c>
      <c r="I95" s="70" t="n">
        <f aca="false">IFERROR(__xludf.dummyfunction("""COMPUTED_VALUE"""),1240576)</f>
        <v>1240576</v>
      </c>
      <c r="J95" s="70" t="n">
        <f aca="false">IFERROR(__xludf.dummyfunction("""COMPUTED_VALUE"""),514756)</f>
        <v>514756</v>
      </c>
      <c r="K95" s="70" t="n">
        <f aca="false">IFERROR(__xludf.dummyfunction("""COMPUTED_VALUE"""),178982)</f>
        <v>178982</v>
      </c>
      <c r="L95" s="70" t="n">
        <f aca="false">IFERROR(__xludf.dummyfunction("""COMPUTED_VALUE"""),8227343)</f>
        <v>8227343</v>
      </c>
      <c r="M95" s="70" t="n">
        <f aca="false">IFERROR(__xludf.dummyfunction("""COMPUTED_VALUE"""),4313069)</f>
        <v>4313069</v>
      </c>
      <c r="N95" s="70" t="n">
        <f aca="false">IFERROR(__xludf.dummyfunction("""COMPUTED_VALUE"""),655990)</f>
        <v>655990</v>
      </c>
      <c r="O95" s="70" t="n">
        <f aca="false">IFERROR(__xludf.dummyfunction("""COMPUTED_VALUE"""),794279)</f>
        <v>794279</v>
      </c>
      <c r="P95" s="70" t="n">
        <f aca="false">IFERROR(__xludf.dummyfunction("""COMPUTED_VALUE"""),4356882)</f>
        <v>4356882</v>
      </c>
      <c r="Q95" s="70" t="n">
        <f aca="false">IFERROR(__xludf.dummyfunction("""COMPUTED_VALUE"""),2365618)</f>
        <v>2365618</v>
      </c>
      <c r="R95" s="70" t="n">
        <f aca="false">IFERROR(__xludf.dummyfunction("""COMPUTED_VALUE"""),1625746)</f>
        <v>1625746</v>
      </c>
      <c r="S95" s="70" t="n">
        <f aca="false">IFERROR(__xludf.dummyfunction("""COMPUTED_VALUE"""),723267)</f>
        <v>723267</v>
      </c>
      <c r="T95" s="70" t="n">
        <f aca="false">IFERROR(__xludf.dummyfunction("""COMPUTED_VALUE"""),1794239)</f>
        <v>1794239</v>
      </c>
      <c r="U95" s="70" t="n">
        <f aca="false">IFERROR(__xludf.dummyfunction("""COMPUTED_VALUE"""),1817359)</f>
        <v>1817359</v>
      </c>
      <c r="V95" s="70" t="n">
        <f aca="false">IFERROR(__xludf.dummyfunction("""COMPUTED_VALUE"""),677810)</f>
        <v>677810</v>
      </c>
      <c r="W95" s="70" t="n">
        <f aca="false">IFERROR(__xludf.dummyfunction("""COMPUTED_VALUE"""),2085732)</f>
        <v>2085732</v>
      </c>
      <c r="X95" s="70" t="n">
        <f aca="false">IFERROR(__xludf.dummyfunction("""COMPUTED_VALUE"""),2260859)</f>
        <v>2260859</v>
      </c>
      <c r="Y95" s="70" t="n">
        <f aca="false">IFERROR(__xludf.dummyfunction("""COMPUTED_VALUE"""),3102645)</f>
        <v>3102645</v>
      </c>
      <c r="Z95" s="70" t="n">
        <f aca="false">IFERROR(__xludf.dummyfunction("""COMPUTED_VALUE"""),2270038)</f>
        <v>2270038</v>
      </c>
      <c r="AA95" s="70" t="n">
        <f aca="false">IFERROR(__xludf.dummyfunction("""COMPUTED_VALUE"""),1294861)</f>
        <v>1294861</v>
      </c>
      <c r="AB95" s="70" t="n">
        <f aca="false">IFERROR(__xludf.dummyfunction("""COMPUTED_VALUE"""),2188754)</f>
        <v>2188754</v>
      </c>
      <c r="AC95" s="70" t="n">
        <f aca="false">IFERROR(__xludf.dummyfunction("""COMPUTED_VALUE"""),454430)</f>
        <v>454430</v>
      </c>
      <c r="AD95" s="70" t="n">
        <f aca="false">IFERROR(__xludf.dummyfunction("""COMPUTED_VALUE"""),747698)</f>
        <v>747698</v>
      </c>
      <c r="AE95" s="70" t="n">
        <f aca="false">IFERROR(__xludf.dummyfunction("""COMPUTED_VALUE"""),1002379)</f>
        <v>1002379</v>
      </c>
      <c r="AF95" s="70" t="n">
        <f aca="false">IFERROR(__xludf.dummyfunction("""COMPUTED_VALUE"""),591159)</f>
        <v>591159</v>
      </c>
      <c r="AG95" s="70" t="n">
        <f aca="false">IFERROR(__xludf.dummyfunction("""COMPUTED_VALUE"""),2854345)</f>
        <v>2854345</v>
      </c>
      <c r="AH95" s="70" t="n">
        <f aca="false">IFERROR(__xludf.dummyfunction("""COMPUTED_VALUE"""),973854)</f>
        <v>973854</v>
      </c>
      <c r="AI95" s="70" t="n">
        <f aca="false">IFERROR(__xludf.dummyfunction("""COMPUTED_VALUE"""),5105764)</f>
        <v>5105764</v>
      </c>
      <c r="AJ95" s="70" t="n">
        <f aca="false">IFERROR(__xludf.dummyfunction("""COMPUTED_VALUE"""),4227103)</f>
        <v>4227103</v>
      </c>
      <c r="AK95" s="70" t="n">
        <f aca="false">IFERROR(__xludf.dummyfunction("""COMPUTED_VALUE"""),250270)</f>
        <v>250270</v>
      </c>
      <c r="AL95" s="70" t="n">
        <f aca="false">IFERROR(__xludf.dummyfunction("""COMPUTED_VALUE"""),4320261)</f>
        <v>4320261</v>
      </c>
      <c r="AM95" s="70" t="n">
        <f aca="false">IFERROR(__xludf.dummyfunction("""COMPUTED_VALUE"""),2075790)</f>
        <v>2075790</v>
      </c>
      <c r="AN95" s="70" t="n">
        <f aca="false">IFERROR(__xludf.dummyfunction("""COMPUTED_VALUE"""),1596808)</f>
        <v>1596808</v>
      </c>
      <c r="AO95" s="70" t="n">
        <f aca="false">IFERROR(__xludf.dummyfunction("""COMPUTED_VALUE"""),4948607)</f>
        <v>4948607</v>
      </c>
      <c r="AP95" s="70" t="n">
        <f aca="false">IFERROR(__xludf.dummyfunction("""COMPUTED_VALUE"""),366722)</f>
        <v>366722</v>
      </c>
      <c r="AQ95" s="70" t="n">
        <f aca="false">IFERROR(__xludf.dummyfunction("""COMPUTED_VALUE"""),2271718)</f>
        <v>2271718</v>
      </c>
      <c r="AR95" s="70" t="n">
        <f aca="false">IFERROR(__xludf.dummyfunction("""COMPUTED_VALUE"""),206595)</f>
        <v>206595</v>
      </c>
      <c r="AS95" s="70" t="n">
        <f aca="false">IFERROR(__xludf.dummyfunction("""COMPUTED_VALUE"""),3378108)</f>
        <v>3378108</v>
      </c>
      <c r="AT95" s="70" t="n">
        <f aca="false">IFERROR(__xludf.dummyfunction("""COMPUTED_VALUE"""),8256549)</f>
        <v>8256549</v>
      </c>
      <c r="AU95" s="70" t="n">
        <f aca="false">IFERROR(__xludf.dummyfunction("""COMPUTED_VALUE"""),1113643)</f>
        <v>1113643</v>
      </c>
      <c r="AV95" s="70" t="n">
        <f aca="false">IFERROR(__xludf.dummyfunction("""COMPUTED_VALUE"""),184418)</f>
        <v>184418</v>
      </c>
      <c r="AW95" s="70" t="n">
        <f aca="false">IFERROR(__xludf.dummyfunction("""COMPUTED_VALUE"""),3200921)</f>
        <v>3200921</v>
      </c>
      <c r="AX95" s="70" t="n">
        <f aca="false">IFERROR(__xludf.dummyfunction("""COMPUTED_VALUE"""),2602578)</f>
        <v>2602578</v>
      </c>
      <c r="AY95" s="70" t="n">
        <f aca="false">IFERROR(__xludf.dummyfunction("""COMPUTED_VALUE"""),1012369)</f>
        <v>1012369</v>
      </c>
      <c r="AZ95" s="70" t="n">
        <f aca="false">IFERROR(__xludf.dummyfunction("""COMPUTED_VALUE"""),2499304)</f>
        <v>2499304</v>
      </c>
      <c r="BA95" s="70" t="n">
        <f aca="false">IFERROR(__xludf.dummyfunction("""COMPUTED_VALUE"""),215666)</f>
        <v>215666</v>
      </c>
    </row>
    <row r="96" customFormat="false" ht="15.75" hidden="false" customHeight="false" outlineLevel="0" collapsed="false">
      <c r="A96" s="78" t="str">
        <f aca="false">IFERROR(__xludf.dummyfunction("""COMPUTED_VALUE"""),"exemptions")</f>
        <v>exemptions</v>
      </c>
      <c r="B96" s="72" t="n">
        <f aca="false">IFERROR(__xludf.dummyfunction("""COMPUTED_VALUE"""),35691889)</f>
        <v>35691889</v>
      </c>
      <c r="C96" s="73" t="n">
        <f aca="false">IFERROR(__xludf.dummyfunction("""COMPUTED_VALUE"""),1223596)</f>
        <v>1223596</v>
      </c>
      <c r="D96" s="70" t="n">
        <f aca="false">IFERROR(__xludf.dummyfunction("""COMPUTED_VALUE"""),71900)</f>
        <v>71900</v>
      </c>
      <c r="E96" s="70" t="n">
        <f aca="false">IFERROR(__xludf.dummyfunction("""COMPUTED_VALUE"""),42507)</f>
        <v>42507</v>
      </c>
      <c r="F96" s="70" t="n">
        <f aca="false">IFERROR(__xludf.dummyfunction("""COMPUTED_VALUE"""),764014)</f>
        <v>764014</v>
      </c>
      <c r="G96" s="70" t="n">
        <f aca="false">IFERROR(__xludf.dummyfunction("""COMPUTED_VALUE"""),148724)</f>
        <v>148724</v>
      </c>
      <c r="H96" s="70" t="n">
        <f aca="false">IFERROR(__xludf.dummyfunction("""COMPUTED_VALUE"""),43235)</f>
        <v>43235</v>
      </c>
      <c r="I96" s="70" t="n">
        <f aca="false">IFERROR(__xludf.dummyfunction("""COMPUTED_VALUE"""),0)</f>
        <v>0</v>
      </c>
      <c r="J96" s="70" t="n">
        <f aca="false">IFERROR(__xludf.dummyfunction("""COMPUTED_VALUE"""),26101)</f>
        <v>26101</v>
      </c>
      <c r="K96" s="70" t="n">
        <f aca="false">IFERROR(__xludf.dummyfunction("""COMPUTED_VALUE"""),6697)</f>
        <v>6697</v>
      </c>
      <c r="L96" s="70" t="n">
        <f aca="false">IFERROR(__xludf.dummyfunction("""COMPUTED_VALUE"""),4776294)</f>
        <v>4776294</v>
      </c>
      <c r="M96" s="70" t="n">
        <f aca="false">IFERROR(__xludf.dummyfunction("""COMPUTED_VALUE"""),1601769)</f>
        <v>1601769</v>
      </c>
      <c r="N96" s="70" t="n">
        <f aca="false">IFERROR(__xludf.dummyfunction("""COMPUTED_VALUE"""),113294)</f>
        <v>113294</v>
      </c>
      <c r="O96" s="70" t="n">
        <f aca="false">IFERROR(__xludf.dummyfunction("""COMPUTED_VALUE"""),327202)</f>
        <v>327202</v>
      </c>
      <c r="P96" s="70" t="n">
        <f aca="false">IFERROR(__xludf.dummyfunction("""COMPUTED_VALUE"""),2419051)</f>
        <v>2419051</v>
      </c>
      <c r="Q96" s="70" t="n">
        <f aca="false">IFERROR(__xludf.dummyfunction("""COMPUTED_VALUE"""),590556)</f>
        <v>590556</v>
      </c>
      <c r="R96" s="70" t="n">
        <f aca="false">IFERROR(__xludf.dummyfunction("""COMPUTED_VALUE"""),833327)</f>
        <v>833327</v>
      </c>
      <c r="S96" s="70" t="n">
        <f aca="false">IFERROR(__xludf.dummyfunction("""COMPUTED_VALUE"""),4718)</f>
        <v>4718</v>
      </c>
      <c r="T96" s="70" t="n">
        <f aca="false">IFERROR(__xludf.dummyfunction("""COMPUTED_VALUE"""),481440)</f>
        <v>481440</v>
      </c>
      <c r="U96" s="70" t="n">
        <f aca="false">IFERROR(__xludf.dummyfunction("""COMPUTED_VALUE"""),1153762)</f>
        <v>1153762</v>
      </c>
      <c r="V96" s="70" t="n">
        <f aca="false">IFERROR(__xludf.dummyfunction("""COMPUTED_VALUE"""),0)</f>
        <v>0</v>
      </c>
      <c r="W96" s="70" t="n">
        <f aca="false">IFERROR(__xludf.dummyfunction("""COMPUTED_VALUE"""),1004458)</f>
        <v>1004458</v>
      </c>
      <c r="X96" s="70" t="n">
        <f aca="false">IFERROR(__xludf.dummyfunction("""COMPUTED_VALUE"""),0)</f>
        <v>0</v>
      </c>
      <c r="Y96" s="70" t="n">
        <f aca="false">IFERROR(__xludf.dummyfunction("""COMPUTED_VALUE"""),2390269)</f>
        <v>2390269</v>
      </c>
      <c r="Z96" s="70" t="n">
        <f aca="false">IFERROR(__xludf.dummyfunction("""COMPUTED_VALUE"""),1418379)</f>
        <v>1418379</v>
      </c>
      <c r="AA96" s="70" t="n">
        <f aca="false">IFERROR(__xludf.dummyfunction("""COMPUTED_VALUE"""),600565)</f>
        <v>600565</v>
      </c>
      <c r="AB96" s="70" t="n">
        <f aca="false">IFERROR(__xludf.dummyfunction("""COMPUTED_VALUE"""),8856)</f>
        <v>8856</v>
      </c>
      <c r="AC96" s="70" t="n">
        <f aca="false">IFERROR(__xludf.dummyfunction("""COMPUTED_VALUE"""),36835)</f>
        <v>36835</v>
      </c>
      <c r="AD96" s="70" t="n">
        <f aca="false">IFERROR(__xludf.dummyfunction("""COMPUTED_VALUE"""),17972)</f>
        <v>17972</v>
      </c>
      <c r="AE96" s="70" t="n">
        <f aca="false">IFERROR(__xludf.dummyfunction("""COMPUTED_VALUE"""),38283)</f>
        <v>38283</v>
      </c>
      <c r="AF96" s="70" t="n">
        <f aca="false">IFERROR(__xludf.dummyfunction("""COMPUTED_VALUE"""),0)</f>
        <v>0</v>
      </c>
      <c r="AG96" s="70" t="n">
        <f aca="false">IFERROR(__xludf.dummyfunction("""COMPUTED_VALUE"""),182551)</f>
        <v>182551</v>
      </c>
      <c r="AH96" s="70" t="n">
        <f aca="false">IFERROR(__xludf.dummyfunction("""COMPUTED_VALUE"""),287178)</f>
        <v>287178</v>
      </c>
      <c r="AI96" s="70" t="n">
        <f aca="false">IFERROR(__xludf.dummyfunction("""COMPUTED_VALUE"""),2990215)</f>
        <v>2990215</v>
      </c>
      <c r="AJ96" s="70" t="n">
        <f aca="false">IFERROR(__xludf.dummyfunction("""COMPUTED_VALUE"""),43531)</f>
        <v>43531</v>
      </c>
      <c r="AK96" s="70" t="n">
        <f aca="false">IFERROR(__xludf.dummyfunction("""COMPUTED_VALUE"""),3843)</f>
        <v>3843</v>
      </c>
      <c r="AL96" s="70" t="n">
        <f aca="false">IFERROR(__xludf.dummyfunction("""COMPUTED_VALUE"""),2489789)</f>
        <v>2489789</v>
      </c>
      <c r="AM96" s="70" t="n">
        <f aca="false">IFERROR(__xludf.dummyfunction("""COMPUTED_VALUE"""),870611)</f>
        <v>870611</v>
      </c>
      <c r="AN96" s="70" t="n">
        <f aca="false">IFERROR(__xludf.dummyfunction("""COMPUTED_VALUE"""),44477)</f>
        <v>44477</v>
      </c>
      <c r="AO96" s="70" t="n">
        <f aca="false">IFERROR(__xludf.dummyfunction("""COMPUTED_VALUE"""),1211232)</f>
        <v>1211232</v>
      </c>
      <c r="AP96" s="70" t="n">
        <f aca="false">IFERROR(__xludf.dummyfunction("""COMPUTED_VALUE"""),0)</f>
        <v>0</v>
      </c>
      <c r="AQ96" s="70" t="n">
        <f aca="false">IFERROR(__xludf.dummyfunction("""COMPUTED_VALUE"""),427337)</f>
        <v>427337</v>
      </c>
      <c r="AR96" s="70" t="n">
        <f aca="false">IFERROR(__xludf.dummyfunction("""COMPUTED_VALUE"""),5165)</f>
        <v>5165</v>
      </c>
      <c r="AS96" s="70" t="n">
        <f aca="false">IFERROR(__xludf.dummyfunction("""COMPUTED_VALUE"""),41428)</f>
        <v>41428</v>
      </c>
      <c r="AT96" s="70" t="n">
        <f aca="false">IFERROR(__xludf.dummyfunction("""COMPUTED_VALUE"""),5133823)</f>
        <v>5133823</v>
      </c>
      <c r="AU96" s="70" t="n">
        <f aca="false">IFERROR(__xludf.dummyfunction("""COMPUTED_VALUE"""),2594)</f>
        <v>2594</v>
      </c>
      <c r="AV96" s="70" t="n">
        <f aca="false">IFERROR(__xludf.dummyfunction("""COMPUTED_VALUE"""),153430)</f>
        <v>153430</v>
      </c>
      <c r="AW96" s="70" t="n">
        <f aca="false">IFERROR(__xludf.dummyfunction("""COMPUTED_VALUE"""),10754)</f>
        <v>10754</v>
      </c>
      <c r="AX96" s="70" t="n">
        <f aca="false">IFERROR(__xludf.dummyfunction("""COMPUTED_VALUE"""),93959)</f>
        <v>93959</v>
      </c>
      <c r="AY96" s="70" t="n">
        <f aca="false">IFERROR(__xludf.dummyfunction("""COMPUTED_VALUE"""),297800)</f>
        <v>297800</v>
      </c>
      <c r="AZ96" s="70" t="n">
        <f aca="false">IFERROR(__xludf.dummyfunction("""COMPUTED_VALUE"""),1245480)</f>
        <v>1245480</v>
      </c>
      <c r="BA96" s="70" t="n">
        <f aca="false">IFERROR(__xludf.dummyfunction("""COMPUTED_VALUE"""),68)</f>
        <v>68</v>
      </c>
    </row>
    <row r="97" customFormat="false" ht="15.75" hidden="false" customHeight="false" outlineLevel="0" collapsed="false">
      <c r="A97" s="78" t="str">
        <f aca="false">IFERROR(__xludf.dummyfunction("""COMPUTED_VALUE"""),"rate_code_area")</f>
        <v>rate_code_area</v>
      </c>
      <c r="B97" s="72" t="n">
        <f aca="false">IFERROR(__xludf.dummyfunction("""COMPUTED_VALUE"""),78380850)</f>
        <v>78380850</v>
      </c>
      <c r="C97" s="73" t="n">
        <f aca="false">IFERROR(__xludf.dummyfunction("""COMPUTED_VALUE"""),1273954)</f>
        <v>1273954</v>
      </c>
      <c r="D97" s="70" t="n">
        <f aca="false">IFERROR(__xludf.dummyfunction("""COMPUTED_VALUE"""),152843)</f>
        <v>152843</v>
      </c>
      <c r="E97" s="70" t="n">
        <f aca="false">IFERROR(__xludf.dummyfunction("""COMPUTED_VALUE"""),2439367)</f>
        <v>2439367</v>
      </c>
      <c r="F97" s="70" t="n">
        <f aca="false">IFERROR(__xludf.dummyfunction("""COMPUTED_VALUE"""),1161401)</f>
        <v>1161401</v>
      </c>
      <c r="G97" s="70" t="n">
        <f aca="false">IFERROR(__xludf.dummyfunction("""COMPUTED_VALUE"""),10293337)</f>
        <v>10293337</v>
      </c>
      <c r="H97" s="70" t="n">
        <f aca="false">IFERROR(__xludf.dummyfunction("""COMPUTED_VALUE"""),1915011)</f>
        <v>1915011</v>
      </c>
      <c r="I97" s="70" t="n">
        <f aca="false">IFERROR(__xludf.dummyfunction("""COMPUTED_VALUE"""),0)</f>
        <v>0</v>
      </c>
      <c r="J97" s="70" t="n">
        <f aca="false">IFERROR(__xludf.dummyfunction("""COMPUTED_VALUE"""),310618)</f>
        <v>310618</v>
      </c>
      <c r="K97" s="70" t="n">
        <f aca="false">IFERROR(__xludf.dummyfunction("""COMPUTED_VALUE"""),56162)</f>
        <v>56162</v>
      </c>
      <c r="L97" s="70" t="n">
        <f aca="false">IFERROR(__xludf.dummyfunction("""COMPUTED_VALUE"""),7855494)</f>
        <v>7855494</v>
      </c>
      <c r="M97" s="70" t="n">
        <f aca="false">IFERROR(__xludf.dummyfunction("""COMPUTED_VALUE"""),3319617)</f>
        <v>3319617</v>
      </c>
      <c r="N97" s="70" t="n">
        <f aca="false">IFERROR(__xludf.dummyfunction("""COMPUTED_VALUE"""),385002)</f>
        <v>385002</v>
      </c>
      <c r="O97" s="70" t="n">
        <f aca="false">IFERROR(__xludf.dummyfunction("""COMPUTED_VALUE"""),555485)</f>
        <v>555485</v>
      </c>
      <c r="P97" s="70" t="n">
        <f aca="false">IFERROR(__xludf.dummyfunction("""COMPUTED_VALUE"""),4093059)</f>
        <v>4093059</v>
      </c>
      <c r="Q97" s="70" t="n">
        <f aca="false">IFERROR(__xludf.dummyfunction("""COMPUTED_VALUE"""),2309035)</f>
        <v>2309035</v>
      </c>
      <c r="R97" s="70" t="n">
        <f aca="false">IFERROR(__xludf.dummyfunction("""COMPUTED_VALUE"""),1139251)</f>
        <v>1139251</v>
      </c>
      <c r="S97" s="70" t="n">
        <f aca="false">IFERROR(__xludf.dummyfunction("""COMPUTED_VALUE"""),579933)</f>
        <v>579933</v>
      </c>
      <c r="T97" s="70" t="n">
        <f aca="false">IFERROR(__xludf.dummyfunction("""COMPUTED_VALUE"""),1024738)</f>
        <v>1024738</v>
      </c>
      <c r="U97" s="70" t="n">
        <f aca="false">IFERROR(__xludf.dummyfunction("""COMPUTED_VALUE"""),938495)</f>
        <v>938495</v>
      </c>
      <c r="V97" s="70" t="n">
        <f aca="false">IFERROR(__xludf.dummyfunction("""COMPUTED_VALUE"""),0)</f>
        <v>0</v>
      </c>
      <c r="W97" s="70" t="n">
        <f aca="false">IFERROR(__xludf.dummyfunction("""COMPUTED_VALUE"""),1862516)</f>
        <v>1862516</v>
      </c>
      <c r="X97" s="70" t="n">
        <f aca="false">IFERROR(__xludf.dummyfunction("""COMPUTED_VALUE"""),0)</f>
        <v>0</v>
      </c>
      <c r="Y97" s="70" t="n">
        <f aca="false">IFERROR(__xludf.dummyfunction("""COMPUTED_VALUE"""),1701696)</f>
        <v>1701696</v>
      </c>
      <c r="Z97" s="70" t="n">
        <f aca="false">IFERROR(__xludf.dummyfunction("""COMPUTED_VALUE"""),580464)</f>
        <v>580464</v>
      </c>
      <c r="AA97" s="70" t="n">
        <f aca="false">IFERROR(__xludf.dummyfunction("""COMPUTED_VALUE"""),856429)</f>
        <v>856429</v>
      </c>
      <c r="AB97" s="70" t="n">
        <f aca="false">IFERROR(__xludf.dummyfunction("""COMPUTED_VALUE"""),1100741)</f>
        <v>1100741</v>
      </c>
      <c r="AC97" s="70" t="n">
        <f aca="false">IFERROR(__xludf.dummyfunction("""COMPUTED_VALUE"""),445875)</f>
        <v>445875</v>
      </c>
      <c r="AD97" s="70" t="n">
        <f aca="false">IFERROR(__xludf.dummyfunction("""COMPUTED_VALUE"""),526743)</f>
        <v>526743</v>
      </c>
      <c r="AE97" s="70" t="n">
        <f aca="false">IFERROR(__xludf.dummyfunction("""COMPUTED_VALUE"""),986854)</f>
        <v>986854</v>
      </c>
      <c r="AF97" s="70" t="n">
        <f aca="false">IFERROR(__xludf.dummyfunction("""COMPUTED_VALUE"""),0)</f>
        <v>0</v>
      </c>
      <c r="AG97" s="70" t="n">
        <f aca="false">IFERROR(__xludf.dummyfunction("""COMPUTED_VALUE"""),0)</f>
        <v>0</v>
      </c>
      <c r="AH97" s="70" t="n">
        <f aca="false">IFERROR(__xludf.dummyfunction("""COMPUTED_VALUE"""),696521)</f>
        <v>696521</v>
      </c>
      <c r="AI97" s="70" t="n">
        <f aca="false">IFERROR(__xludf.dummyfunction("""COMPUTED_VALUE"""),3826807)</f>
        <v>3826807</v>
      </c>
      <c r="AJ97" s="70" t="n">
        <f aca="false">IFERROR(__xludf.dummyfunction("""COMPUTED_VALUE"""),1660778)</f>
        <v>1660778</v>
      </c>
      <c r="AK97" s="70" t="n">
        <f aca="false">IFERROR(__xludf.dummyfunction("""COMPUTED_VALUE"""),48743)</f>
        <v>48743</v>
      </c>
      <c r="AL97" s="70" t="n">
        <f aca="false">IFERROR(__xludf.dummyfunction("""COMPUTED_VALUE"""),3435762)</f>
        <v>3435762</v>
      </c>
      <c r="AM97" s="70" t="n">
        <f aca="false">IFERROR(__xludf.dummyfunction("""COMPUTED_VALUE"""),1803031)</f>
        <v>1803031</v>
      </c>
      <c r="AN97" s="70" t="n">
        <f aca="false">IFERROR(__xludf.dummyfunction("""COMPUTED_VALUE"""),1304112)</f>
        <v>1304112</v>
      </c>
      <c r="AO97" s="70" t="n">
        <f aca="false">IFERROR(__xludf.dummyfunction("""COMPUTED_VALUE"""),1996858)</f>
        <v>1996858</v>
      </c>
      <c r="AP97" s="70" t="n">
        <f aca="false">IFERROR(__xludf.dummyfunction("""COMPUTED_VALUE"""),0)</f>
        <v>0</v>
      </c>
      <c r="AQ97" s="70" t="n">
        <f aca="false">IFERROR(__xludf.dummyfunction("""COMPUTED_VALUE"""),1551975)</f>
        <v>1551975</v>
      </c>
      <c r="AR97" s="70" t="n">
        <f aca="false">IFERROR(__xludf.dummyfunction("""COMPUTED_VALUE"""),127299)</f>
        <v>127299</v>
      </c>
      <c r="AS97" s="70" t="n">
        <f aca="false">IFERROR(__xludf.dummyfunction("""COMPUTED_VALUE"""),1655855)</f>
        <v>1655855</v>
      </c>
      <c r="AT97" s="70" t="n">
        <f aca="false">IFERROR(__xludf.dummyfunction("""COMPUTED_VALUE"""),7502435)</f>
        <v>7502435</v>
      </c>
      <c r="AU97" s="70" t="n">
        <f aca="false">IFERROR(__xludf.dummyfunction("""COMPUTED_VALUE"""),809826)</f>
        <v>809826</v>
      </c>
      <c r="AV97" s="70" t="n">
        <f aca="false">IFERROR(__xludf.dummyfunction("""COMPUTED_VALUE"""),170046)</f>
        <v>170046</v>
      </c>
      <c r="AW97" s="70" t="n">
        <f aca="false">IFERROR(__xludf.dummyfunction("""COMPUTED_VALUE"""),694347)</f>
        <v>694347</v>
      </c>
      <c r="AX97" s="70" t="n">
        <f aca="false">IFERROR(__xludf.dummyfunction("""COMPUTED_VALUE"""),2245589)</f>
        <v>2245589</v>
      </c>
      <c r="AY97" s="70" t="n">
        <f aca="false">IFERROR(__xludf.dummyfunction("""COMPUTED_VALUE"""),42994)</f>
        <v>42994</v>
      </c>
      <c r="AZ97" s="70" t="n">
        <f aca="false">IFERROR(__xludf.dummyfunction("""COMPUTED_VALUE"""),721782)</f>
        <v>721782</v>
      </c>
      <c r="BA97" s="70" t="n">
        <f aca="false">IFERROR(__xludf.dummyfunction("""COMPUTED_VALUE"""),221970)</f>
        <v>221970</v>
      </c>
    </row>
    <row r="98" customFormat="false" ht="15.75" hidden="false" customHeight="false" outlineLevel="0" collapsed="false">
      <c r="B98" s="59"/>
      <c r="C98" s="79"/>
      <c r="D98" s="80"/>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row>
    <row r="99" customFormat="false" ht="15.75" hidden="false" customHeight="false" outlineLevel="0" collapsed="false">
      <c r="A99" s="74" t="s">
        <v>1816</v>
      </c>
      <c r="B99" s="7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row>
    <row r="100" customFormat="false" ht="15.75" hidden="false" customHeight="false" outlineLevel="0" collapsed="false">
      <c r="A100" s="75" t="str">
        <f aca="false">IFERROR(__xludf.dummyfunction("TRANSPOSE(IMPORTRANGE(""https://docs.google.com/spreadsheets/d/1sNrf4xlwHQ-LujHTd1_nLHq6duGtTzjk33k9jntfg4c"", ""'Assessments'!F4:I56""))"),"year")</f>
        <v>year</v>
      </c>
      <c r="B100" s="56" t="n">
        <f aca="false">IFERROR(__xludf.dummyfunction("""COMPUTED_VALUE"""),125596334)</f>
        <v>125596334</v>
      </c>
      <c r="C100" s="76" t="n">
        <f aca="false">IFERROR(__xludf.dummyfunction("""COMPUTED_VALUE"""),2564199)</f>
        <v>2564199</v>
      </c>
      <c r="D100" s="77" t="n">
        <f aca="false">IFERROR(__xludf.dummyfunction("""COMPUTED_VALUE"""),714222)</f>
        <v>714222</v>
      </c>
      <c r="E100" s="77" t="n">
        <f aca="false">IFERROR(__xludf.dummyfunction("""COMPUTED_VALUE"""),2509817)</f>
        <v>2509817</v>
      </c>
      <c r="F100" s="77" t="n">
        <f aca="false">IFERROR(__xludf.dummyfunction("""COMPUTED_VALUE"""),1315229)</f>
        <v>1315229</v>
      </c>
      <c r="G100" s="77" t="n">
        <f aca="false">IFERROR(__xludf.dummyfunction("""COMPUTED_VALUE"""),10677730)</f>
        <v>10677730</v>
      </c>
      <c r="H100" s="77" t="n">
        <f aca="false">IFERROR(__xludf.dummyfunction("""COMPUTED_VALUE"""),2546718)</f>
        <v>2546718</v>
      </c>
      <c r="I100" s="77" t="n">
        <f aca="false">IFERROR(__xludf.dummyfunction("""COMPUTED_VALUE"""),1245561)</f>
        <v>1245561</v>
      </c>
      <c r="J100" s="77" t="n">
        <f aca="false">IFERROR(__xludf.dummyfunction("""COMPUTED_VALUE"""),530175)</f>
        <v>530175</v>
      </c>
      <c r="K100" s="77" t="n">
        <f aca="false">IFERROR(__xludf.dummyfunction("""COMPUTED_VALUE"""),182248)</f>
        <v>182248</v>
      </c>
      <c r="L100" s="77" t="n">
        <f aca="false">IFERROR(__xludf.dummyfunction("""COMPUTED_VALUE"""),8417579)</f>
        <v>8417579</v>
      </c>
      <c r="M100" s="77" t="n">
        <f aca="false">IFERROR(__xludf.dummyfunction("""COMPUTED_VALUE"""),4424449)</f>
        <v>4424449</v>
      </c>
      <c r="N100" s="77" t="n">
        <f aca="false">IFERROR(__xludf.dummyfunction("""COMPUTED_VALUE"""),670067)</f>
        <v>670067</v>
      </c>
      <c r="O100" s="77" t="n">
        <f aca="false">IFERROR(__xludf.dummyfunction("""COMPUTED_VALUE"""),841049)</f>
        <v>841049</v>
      </c>
      <c r="P100" s="77" t="n">
        <f aca="false">IFERROR(__xludf.dummyfunction("""COMPUTED_VALUE"""),4516217)</f>
        <v>4516217</v>
      </c>
      <c r="Q100" s="77" t="n">
        <f aca="false">IFERROR(__xludf.dummyfunction("""COMPUTED_VALUE"""),2433165)</f>
        <v>2433165</v>
      </c>
      <c r="R100" s="77" t="n">
        <f aca="false">IFERROR(__xludf.dummyfunction("""COMPUTED_VALUE"""),1710017)</f>
        <v>1710017</v>
      </c>
      <c r="S100" s="77" t="n">
        <f aca="false">IFERROR(__xludf.dummyfunction("""COMPUTED_VALUE"""),1141858)</f>
        <v>1141858</v>
      </c>
      <c r="T100" s="77" t="n">
        <f aca="false">IFERROR(__xludf.dummyfunction("""COMPUTED_VALUE"""),2064396)</f>
        <v>2064396</v>
      </c>
      <c r="U100" s="77" t="n">
        <f aca="false">IFERROR(__xludf.dummyfunction("""COMPUTED_VALUE"""),1893823)</f>
        <v>1893823</v>
      </c>
      <c r="V100" s="77" t="n">
        <f aca="false">IFERROR(__xludf.dummyfunction("""COMPUTED_VALUE"""),685152)</f>
        <v>685152</v>
      </c>
      <c r="W100" s="77" t="n">
        <f aca="false">IFERROR(__xludf.dummyfunction("""COMPUTED_VALUE"""),2249547)</f>
        <v>2249547</v>
      </c>
      <c r="X100" s="77" t="n">
        <f aca="false">IFERROR(__xludf.dummyfunction("""COMPUTED_VALUE"""),2270490)</f>
        <v>2270490</v>
      </c>
      <c r="Y100" s="77" t="n">
        <f aca="false">IFERROR(__xludf.dummyfunction("""COMPUTED_VALUE"""),4271389)</f>
        <v>4271389</v>
      </c>
      <c r="Z100" s="77" t="n">
        <f aca="false">IFERROR(__xludf.dummyfunction("""COMPUTED_VALUE"""),2372898)</f>
        <v>2372898</v>
      </c>
      <c r="AA100" s="77" t="n">
        <f aca="false">IFERROR(__xludf.dummyfunction("""COMPUTED_VALUE"""),1541615)</f>
        <v>1541615</v>
      </c>
      <c r="AB100" s="77" t="n">
        <f aca="false">IFERROR(__xludf.dummyfunction("""COMPUTED_VALUE"""),2785508)</f>
        <v>2785508</v>
      </c>
      <c r="AC100" s="77" t="n">
        <f aca="false">IFERROR(__xludf.dummyfunction("""COMPUTED_VALUE"""),481360)</f>
        <v>481360</v>
      </c>
      <c r="AD100" s="77" t="n">
        <f aca="false">IFERROR(__xludf.dummyfunction("""COMPUTED_VALUE"""),785431)</f>
        <v>785431</v>
      </c>
      <c r="AE100" s="77" t="n">
        <f aca="false">IFERROR(__xludf.dummyfunction("""COMPUTED_VALUE"""),1017842)</f>
        <v>1017842</v>
      </c>
      <c r="AF100" s="77" t="n">
        <f aca="false">IFERROR(__xludf.dummyfunction("""COMPUTED_VALUE"""),596520)</f>
        <v>596520</v>
      </c>
      <c r="AG100" s="77" t="n">
        <f aca="false">IFERROR(__xludf.dummyfunction("""COMPUTED_VALUE"""),2878229)</f>
        <v>2878229</v>
      </c>
      <c r="AH100" s="77" t="n">
        <f aca="false">IFERROR(__xludf.dummyfunction("""COMPUTED_VALUE"""),1128724)</f>
        <v>1128724</v>
      </c>
      <c r="AI100" s="77" t="n">
        <f aca="false">IFERROR(__xludf.dummyfunction("""COMPUTED_VALUE"""),5681921)</f>
        <v>5681921</v>
      </c>
      <c r="AJ100" s="77" t="n">
        <f aca="false">IFERROR(__xludf.dummyfunction("""COMPUTED_VALUE"""),4696179)</f>
        <v>4696179</v>
      </c>
      <c r="AK100" s="77" t="n">
        <f aca="false">IFERROR(__xludf.dummyfunction("""COMPUTED_VALUE"""),297148)</f>
        <v>297148</v>
      </c>
      <c r="AL100" s="77" t="n">
        <f aca="false">IFERROR(__xludf.dummyfunction("""COMPUTED_VALUE"""),4415608)</f>
        <v>4415608</v>
      </c>
      <c r="AM100" s="77" t="n">
        <f aca="false">IFERROR(__xludf.dummyfunction("""COMPUTED_VALUE"""),2159170)</f>
        <v>2159170</v>
      </c>
      <c r="AN100" s="77" t="n">
        <f aca="false">IFERROR(__xludf.dummyfunction("""COMPUTED_VALUE"""),1658436)</f>
        <v>1658436</v>
      </c>
      <c r="AO100" s="77" t="n">
        <f aca="false">IFERROR(__xludf.dummyfunction("""COMPUTED_VALUE"""),5032928)</f>
        <v>5032928</v>
      </c>
      <c r="AP100" s="77" t="n">
        <f aca="false">IFERROR(__xludf.dummyfunction("""COMPUTED_VALUE"""),370770)</f>
        <v>370770</v>
      </c>
      <c r="AQ100" s="77" t="n">
        <f aca="false">IFERROR(__xludf.dummyfunction("""COMPUTED_VALUE"""),2544626)</f>
        <v>2544626</v>
      </c>
      <c r="AR100" s="77" t="n">
        <f aca="false">IFERROR(__xludf.dummyfunction("""COMPUTED_VALUE"""),360407)</f>
        <v>360407</v>
      </c>
      <c r="AS100" s="77" t="n">
        <f aca="false">IFERROR(__xludf.dummyfunction("""COMPUTED_VALUE"""),3434022)</f>
        <v>3434022</v>
      </c>
      <c r="AT100" s="77" t="n">
        <f aca="false">IFERROR(__xludf.dummyfunction("""COMPUTED_VALUE"""),9816622)</f>
        <v>9816622</v>
      </c>
      <c r="AU100" s="77" t="n">
        <f aca="false">IFERROR(__xludf.dummyfunction("""COMPUTED_VALUE"""),1145882)</f>
        <v>1145882</v>
      </c>
      <c r="AV100" s="77" t="n">
        <f aca="false">IFERROR(__xludf.dummyfunction("""COMPUTED_VALUE"""),370540)</f>
        <v>370540</v>
      </c>
      <c r="AW100" s="77" t="n">
        <f aca="false">IFERROR(__xludf.dummyfunction("""COMPUTED_VALUE"""),3517706)</f>
        <v>3517706</v>
      </c>
      <c r="AX100" s="77" t="n">
        <f aca="false">IFERROR(__xludf.dummyfunction("""COMPUTED_VALUE"""),2677626)</f>
        <v>2677626</v>
      </c>
      <c r="AY100" s="77" t="n">
        <f aca="false">IFERROR(__xludf.dummyfunction("""COMPUTED_VALUE"""),1079613)</f>
        <v>1079613</v>
      </c>
      <c r="AZ100" s="77" t="n">
        <f aca="false">IFERROR(__xludf.dummyfunction("""COMPUTED_VALUE"""),2588283)</f>
        <v>2588283</v>
      </c>
      <c r="BA100" s="77" t="n">
        <f aca="false">IFERROR(__xludf.dummyfunction("""COMPUTED_VALUE"""),268367)</f>
        <v>268367</v>
      </c>
    </row>
    <row r="101" customFormat="false" ht="15.75" hidden="false" customHeight="false" outlineLevel="0" collapsed="false">
      <c r="A101" s="78" t="str">
        <f aca="false">IFERROR(__xludf.dummyfunction("""COMPUTED_VALUE"""),"land_value")</f>
        <v>land_value</v>
      </c>
      <c r="B101" s="72" t="n">
        <f aca="false">IFERROR(__xludf.dummyfunction("""COMPUTED_VALUE"""),100269970)</f>
        <v>100269970</v>
      </c>
      <c r="C101" s="73" t="n">
        <f aca="false">IFERROR(__xludf.dummyfunction("""COMPUTED_VALUE"""),1513475)</f>
        <v>1513475</v>
      </c>
      <c r="D101" s="70" t="n">
        <f aca="false">IFERROR(__xludf.dummyfunction("""COMPUTED_VALUE"""),239583)</f>
        <v>239583</v>
      </c>
      <c r="E101" s="70" t="n">
        <f aca="false">IFERROR(__xludf.dummyfunction("""COMPUTED_VALUE"""),1861532)</f>
        <v>1861532</v>
      </c>
      <c r="F101" s="70" t="n">
        <f aca="false">IFERROR(__xludf.dummyfunction("""COMPUTED_VALUE"""),1223896)</f>
        <v>1223896</v>
      </c>
      <c r="G101" s="70" t="n">
        <f aca="false">IFERROR(__xludf.dummyfunction("""COMPUTED_VALUE"""),10264575)</f>
        <v>10264575</v>
      </c>
      <c r="H101" s="70" t="n">
        <f aca="false">IFERROR(__xludf.dummyfunction("""COMPUTED_VALUE"""),2053216)</f>
        <v>2053216</v>
      </c>
      <c r="I101" s="70" t="n">
        <f aca="false">IFERROR(__xludf.dummyfunction("""COMPUTED_VALUE"""),1027959)</f>
        <v>1027959</v>
      </c>
      <c r="J101" s="70" t="n">
        <f aca="false">IFERROR(__xludf.dummyfunction("""COMPUTED_VALUE"""),352516)</f>
        <v>352516</v>
      </c>
      <c r="K101" s="70" t="n">
        <f aca="false">IFERROR(__xludf.dummyfunction("""COMPUTED_VALUE"""),179751)</f>
        <v>179751</v>
      </c>
      <c r="L101" s="70" t="n">
        <f aca="false">IFERROR(__xludf.dummyfunction("""COMPUTED_VALUE"""),3355082)</f>
        <v>3355082</v>
      </c>
      <c r="M101" s="70" t="n">
        <f aca="false">IFERROR(__xludf.dummyfunction("""COMPUTED_VALUE"""),4141030)</f>
        <v>4141030</v>
      </c>
      <c r="N101" s="70" t="n">
        <f aca="false">IFERROR(__xludf.dummyfunction("""COMPUTED_VALUE"""),652982)</f>
        <v>652982</v>
      </c>
      <c r="O101" s="70" t="n">
        <f aca="false">IFERROR(__xludf.dummyfunction("""COMPUTED_VALUE"""),550982)</f>
        <v>550982</v>
      </c>
      <c r="P101" s="70" t="n">
        <f aca="false">IFERROR(__xludf.dummyfunction("""COMPUTED_VALUE"""),4488599)</f>
        <v>4488599</v>
      </c>
      <c r="Q101" s="70" t="n">
        <f aca="false">IFERROR(__xludf.dummyfunction("""COMPUTED_VALUE"""),2415826)</f>
        <v>2415826</v>
      </c>
      <c r="R101" s="70" t="n">
        <f aca="false">IFERROR(__xludf.dummyfunction("""COMPUTED_VALUE"""),1422643)</f>
        <v>1422643</v>
      </c>
      <c r="S101" s="70" t="n">
        <f aca="false">IFERROR(__xludf.dummyfunction("""COMPUTED_VALUE"""),1022476)</f>
        <v>1022476</v>
      </c>
      <c r="T101" s="70" t="n">
        <f aca="false">IFERROR(__xludf.dummyfunction("""COMPUTED_VALUE"""),968550)</f>
        <v>968550</v>
      </c>
      <c r="U101" s="70" t="n">
        <f aca="false">IFERROR(__xludf.dummyfunction("""COMPUTED_VALUE"""),1763445)</f>
        <v>1763445</v>
      </c>
      <c r="V101" s="70" t="n">
        <f aca="false">IFERROR(__xludf.dummyfunction("""COMPUTED_VALUE"""),646428)</f>
        <v>646428</v>
      </c>
      <c r="W101" s="70" t="n">
        <f aca="false">IFERROR(__xludf.dummyfunction("""COMPUTED_VALUE"""),2018154)</f>
        <v>2018154</v>
      </c>
      <c r="X101" s="70" t="n">
        <f aca="false">IFERROR(__xludf.dummyfunction("""COMPUTED_VALUE"""),1840937)</f>
        <v>1840937</v>
      </c>
      <c r="Y101" s="70" t="n">
        <f aca="false">IFERROR(__xludf.dummyfunction("""COMPUTED_VALUE"""),1048347)</f>
        <v>1048347</v>
      </c>
      <c r="Z101" s="70" t="n">
        <f aca="false">IFERROR(__xludf.dummyfunction("""COMPUTED_VALUE"""),2237566)</f>
        <v>2237566</v>
      </c>
      <c r="AA101" s="70" t="n">
        <f aca="false">IFERROR(__xludf.dummyfunction("""COMPUTED_VALUE"""),489532)</f>
        <v>489532</v>
      </c>
      <c r="AB101" s="70" t="n">
        <f aca="false">IFERROR(__xludf.dummyfunction("""COMPUTED_VALUE"""),1722111)</f>
        <v>1722111</v>
      </c>
      <c r="AC101" s="70" t="n">
        <f aca="false">IFERROR(__xludf.dummyfunction("""COMPUTED_VALUE"""),28602)</f>
        <v>28602</v>
      </c>
      <c r="AD101" s="70" t="n">
        <f aca="false">IFERROR(__xludf.dummyfunction("""COMPUTED_VALUE"""),747738)</f>
        <v>747738</v>
      </c>
      <c r="AE101" s="70" t="n">
        <f aca="false">IFERROR(__xludf.dummyfunction("""COMPUTED_VALUE"""),1009728)</f>
        <v>1009728</v>
      </c>
      <c r="AF101" s="70" t="n">
        <f aca="false">IFERROR(__xludf.dummyfunction("""COMPUTED_VALUE"""),471863)</f>
        <v>471863</v>
      </c>
      <c r="AG101" s="70" t="n">
        <f aca="false">IFERROR(__xludf.dummyfunction("""COMPUTED_VALUE"""),2857586)</f>
        <v>2857586</v>
      </c>
      <c r="AH101" s="70" t="n">
        <f aca="false">IFERROR(__xludf.dummyfunction("""COMPUTED_VALUE"""),774884)</f>
        <v>774884</v>
      </c>
      <c r="AI101" s="70" t="n">
        <f aca="false">IFERROR(__xludf.dummyfunction("""COMPUTED_VALUE"""),5540077)</f>
        <v>5540077</v>
      </c>
      <c r="AJ101" s="70" t="n">
        <f aca="false">IFERROR(__xludf.dummyfunction("""COMPUTED_VALUE"""),4178856)</f>
        <v>4178856</v>
      </c>
      <c r="AK101" s="70" t="n">
        <f aca="false">IFERROR(__xludf.dummyfunction("""COMPUTED_VALUE"""),263131)</f>
        <v>263131</v>
      </c>
      <c r="AL101" s="70" t="n">
        <f aca="false">IFERROR(__xludf.dummyfunction("""COMPUTED_VALUE"""),4296145)</f>
        <v>4296145</v>
      </c>
      <c r="AM101" s="70" t="n">
        <f aca="false">IFERROR(__xludf.dummyfunction("""COMPUTED_VALUE"""),2015182)</f>
        <v>2015182</v>
      </c>
      <c r="AN101" s="70" t="n">
        <f aca="false">IFERROR(__xludf.dummyfunction("""COMPUTED_VALUE"""),215777)</f>
        <v>215777</v>
      </c>
      <c r="AO101" s="70" t="n">
        <f aca="false">IFERROR(__xludf.dummyfunction("""COMPUTED_VALUE"""),4063001)</f>
        <v>4063001</v>
      </c>
      <c r="AP101" s="70" t="n">
        <f aca="false">IFERROR(__xludf.dummyfunction("""COMPUTED_VALUE"""),323005)</f>
        <v>323005</v>
      </c>
      <c r="AQ101" s="70" t="n">
        <f aca="false">IFERROR(__xludf.dummyfunction("""COMPUTED_VALUE"""),1466004)</f>
        <v>1466004</v>
      </c>
      <c r="AR101" s="70" t="n">
        <f aca="false">IFERROR(__xludf.dummyfunction("""COMPUTED_VALUE"""),241523)</f>
        <v>241523</v>
      </c>
      <c r="AS101" s="70" t="n">
        <f aca="false">IFERROR(__xludf.dummyfunction("""COMPUTED_VALUE"""),2190786)</f>
        <v>2190786</v>
      </c>
      <c r="AT101" s="70" t="n">
        <f aca="false">IFERROR(__xludf.dummyfunction("""COMPUTED_VALUE"""),9023850)</f>
        <v>9023850</v>
      </c>
      <c r="AU101" s="70" t="n">
        <f aca="false">IFERROR(__xludf.dummyfunction("""COMPUTED_VALUE"""),1019341)</f>
        <v>1019341</v>
      </c>
      <c r="AV101" s="70" t="n">
        <f aca="false">IFERROR(__xludf.dummyfunction("""COMPUTED_VALUE"""),295933)</f>
        <v>295933</v>
      </c>
      <c r="AW101" s="70" t="n">
        <f aca="false">IFERROR(__xludf.dummyfunction("""COMPUTED_VALUE"""),3472582)</f>
        <v>3472582</v>
      </c>
      <c r="AX101" s="70" t="n">
        <f aca="false">IFERROR(__xludf.dummyfunction("""COMPUTED_VALUE"""),2452636)</f>
        <v>2452636</v>
      </c>
      <c r="AY101" s="70" t="n">
        <f aca="false">IFERROR(__xludf.dummyfunction("""COMPUTED_VALUE"""),1035667)</f>
        <v>1035667</v>
      </c>
      <c r="AZ101" s="70" t="n">
        <f aca="false">IFERROR(__xludf.dummyfunction("""COMPUTED_VALUE"""),2540574)</f>
        <v>2540574</v>
      </c>
      <c r="BA101" s="70" t="n">
        <f aca="false">IFERROR(__xludf.dummyfunction("""COMPUTED_VALUE"""),228863)</f>
        <v>228863</v>
      </c>
    </row>
    <row r="102" customFormat="false" ht="15.75" hidden="false" customHeight="false" outlineLevel="0" collapsed="false">
      <c r="A102" s="78" t="str">
        <f aca="false">IFERROR(__xludf.dummyfunction("""COMPUTED_VALUE"""),"improvement_value")</f>
        <v>improvement_value</v>
      </c>
      <c r="B102" s="72" t="n">
        <f aca="false">IFERROR(__xludf.dummyfunction("""COMPUTED_VALUE"""),99155572)</f>
        <v>99155572</v>
      </c>
      <c r="C102" s="73" t="n">
        <f aca="false">IFERROR(__xludf.dummyfunction("""COMPUTED_VALUE"""),1348993)</f>
        <v>1348993</v>
      </c>
      <c r="D102" s="70" t="n">
        <f aca="false">IFERROR(__xludf.dummyfunction("""COMPUTED_VALUE"""),238965)</f>
        <v>238965</v>
      </c>
      <c r="E102" s="70" t="n">
        <f aca="false">IFERROR(__xludf.dummyfunction("""COMPUTED_VALUE"""),1808638)</f>
        <v>1808638</v>
      </c>
      <c r="F102" s="70" t="n">
        <f aca="false">IFERROR(__xludf.dummyfunction("""COMPUTED_VALUE"""),1231706)</f>
        <v>1231706</v>
      </c>
      <c r="G102" s="70" t="n">
        <f aca="false">IFERROR(__xludf.dummyfunction("""COMPUTED_VALUE"""),10323585)</f>
        <v>10323585</v>
      </c>
      <c r="H102" s="70" t="n">
        <f aca="false">IFERROR(__xludf.dummyfunction("""COMPUTED_VALUE"""),2183474)</f>
        <v>2183474</v>
      </c>
      <c r="I102" s="70" t="n">
        <f aca="false">IFERROR(__xludf.dummyfunction("""COMPUTED_VALUE"""),1237109)</f>
        <v>1237109</v>
      </c>
      <c r="J102" s="70" t="n">
        <f aca="false">IFERROR(__xludf.dummyfunction("""COMPUTED_VALUE"""),383896)</f>
        <v>383896</v>
      </c>
      <c r="K102" s="70" t="n">
        <f aca="false">IFERROR(__xludf.dummyfunction("""COMPUTED_VALUE"""),179102)</f>
        <v>179102</v>
      </c>
      <c r="L102" s="70" t="n">
        <f aca="false">IFERROR(__xludf.dummyfunction("""COMPUTED_VALUE"""),3755910)</f>
        <v>3755910</v>
      </c>
      <c r="M102" s="70" t="n">
        <f aca="false">IFERROR(__xludf.dummyfunction("""COMPUTED_VALUE"""),3997663)</f>
        <v>3997663</v>
      </c>
      <c r="N102" s="70" t="n">
        <f aca="false">IFERROR(__xludf.dummyfunction("""COMPUTED_VALUE"""),648322)</f>
        <v>648322</v>
      </c>
      <c r="O102" s="70" t="n">
        <f aca="false">IFERROR(__xludf.dummyfunction("""COMPUTED_VALUE"""),510167)</f>
        <v>510167</v>
      </c>
      <c r="P102" s="70" t="n">
        <f aca="false">IFERROR(__xludf.dummyfunction("""COMPUTED_VALUE"""),4343055)</f>
        <v>4343055</v>
      </c>
      <c r="Q102" s="70" t="n">
        <f aca="false">IFERROR(__xludf.dummyfunction("""COMPUTED_VALUE"""),2368980)</f>
        <v>2368980</v>
      </c>
      <c r="R102" s="70" t="n">
        <f aca="false">IFERROR(__xludf.dummyfunction("""COMPUTED_VALUE"""),1286274)</f>
        <v>1286274</v>
      </c>
      <c r="S102" s="70" t="n">
        <f aca="false">IFERROR(__xludf.dummyfunction("""COMPUTED_VALUE"""),987768)</f>
        <v>987768</v>
      </c>
      <c r="T102" s="70" t="n">
        <f aca="false">IFERROR(__xludf.dummyfunction("""COMPUTED_VALUE"""),863560)</f>
        <v>863560</v>
      </c>
      <c r="U102" s="70" t="n">
        <f aca="false">IFERROR(__xludf.dummyfunction("""COMPUTED_VALUE"""),1803618)</f>
        <v>1803618</v>
      </c>
      <c r="V102" s="70" t="n">
        <f aca="false">IFERROR(__xludf.dummyfunction("""COMPUTED_VALUE"""),649323)</f>
        <v>649323</v>
      </c>
      <c r="W102" s="70" t="n">
        <f aca="false">IFERROR(__xludf.dummyfunction("""COMPUTED_VALUE"""),1980783)</f>
        <v>1980783</v>
      </c>
      <c r="X102" s="70" t="n">
        <f aca="false">IFERROR(__xludf.dummyfunction("""COMPUTED_VALUE"""),2259534)</f>
        <v>2259534</v>
      </c>
      <c r="Y102" s="70" t="n">
        <f aca="false">IFERROR(__xludf.dummyfunction("""COMPUTED_VALUE"""),674642)</f>
        <v>674642</v>
      </c>
      <c r="Z102" s="70" t="n">
        <f aca="false">IFERROR(__xludf.dummyfunction("""COMPUTED_VALUE"""),2102650)</f>
        <v>2102650</v>
      </c>
      <c r="AA102" s="70" t="n">
        <f aca="false">IFERROR(__xludf.dummyfunction("""COMPUTED_VALUE"""),380180)</f>
        <v>380180</v>
      </c>
      <c r="AB102" s="70" t="n">
        <f aca="false">IFERROR(__xludf.dummyfunction("""COMPUTED_VALUE"""),1619273)</f>
        <v>1619273</v>
      </c>
      <c r="AC102" s="70" t="n">
        <f aca="false">IFERROR(__xludf.dummyfunction("""COMPUTED_VALUE"""),23187)</f>
        <v>23187</v>
      </c>
      <c r="AD102" s="70" t="n">
        <f aca="false">IFERROR(__xludf.dummyfunction("""COMPUTED_VALUE"""),716714)</f>
        <v>716714</v>
      </c>
      <c r="AE102" s="70" t="n">
        <f aca="false">IFERROR(__xludf.dummyfunction("""COMPUTED_VALUE"""),1000626)</f>
        <v>1000626</v>
      </c>
      <c r="AF102" s="70" t="n">
        <f aca="false">IFERROR(__xludf.dummyfunction("""COMPUTED_VALUE"""),589907)</f>
        <v>589907</v>
      </c>
      <c r="AG102" s="70" t="n">
        <f aca="false">IFERROR(__xludf.dummyfunction("""COMPUTED_VALUE"""),2841892)</f>
        <v>2841892</v>
      </c>
      <c r="AH102" s="70" t="n">
        <f aca="false">IFERROR(__xludf.dummyfunction("""COMPUTED_VALUE"""),786222)</f>
        <v>786222</v>
      </c>
      <c r="AI102" s="70" t="n">
        <f aca="false">IFERROR(__xludf.dummyfunction("""COMPUTED_VALUE"""),5616477)</f>
        <v>5616477</v>
      </c>
      <c r="AJ102" s="70" t="n">
        <f aca="false">IFERROR(__xludf.dummyfunction("""COMPUTED_VALUE"""),3722030)</f>
        <v>3722030</v>
      </c>
      <c r="AK102" s="70" t="n">
        <f aca="false">IFERROR(__xludf.dummyfunction("""COMPUTED_VALUE"""),251737)</f>
        <v>251737</v>
      </c>
      <c r="AL102" s="70" t="n">
        <f aca="false">IFERROR(__xludf.dummyfunction("""COMPUTED_VALUE"""),4190181)</f>
        <v>4190181</v>
      </c>
      <c r="AM102" s="70" t="n">
        <f aca="false">IFERROR(__xludf.dummyfunction("""COMPUTED_VALUE"""),1723558)</f>
        <v>1723558</v>
      </c>
      <c r="AN102" s="70" t="n">
        <f aca="false">IFERROR(__xludf.dummyfunction("""COMPUTED_VALUE"""),248582)</f>
        <v>248582</v>
      </c>
      <c r="AO102" s="70" t="n">
        <f aca="false">IFERROR(__xludf.dummyfunction("""COMPUTED_VALUE"""),4191571)</f>
        <v>4191571</v>
      </c>
      <c r="AP102" s="70" t="n">
        <f aca="false">IFERROR(__xludf.dummyfunction("""COMPUTED_VALUE"""),368234)</f>
        <v>368234</v>
      </c>
      <c r="AQ102" s="70" t="n">
        <f aca="false">IFERROR(__xludf.dummyfunction("""COMPUTED_VALUE"""),1636466)</f>
        <v>1636466</v>
      </c>
      <c r="AR102" s="70" t="n">
        <f aca="false">IFERROR(__xludf.dummyfunction("""COMPUTED_VALUE"""),252051)</f>
        <v>252051</v>
      </c>
      <c r="AS102" s="70" t="n">
        <f aca="false">IFERROR(__xludf.dummyfunction("""COMPUTED_VALUE"""),2226504)</f>
        <v>2226504</v>
      </c>
      <c r="AT102" s="70" t="n">
        <f aca="false">IFERROR(__xludf.dummyfunction("""COMPUTED_VALUE"""),9202526)</f>
        <v>9202526</v>
      </c>
      <c r="AU102" s="70" t="n">
        <f aca="false">IFERROR(__xludf.dummyfunction("""COMPUTED_VALUE"""),958904)</f>
        <v>958904</v>
      </c>
      <c r="AV102" s="70" t="n">
        <f aca="false">IFERROR(__xludf.dummyfunction("""COMPUTED_VALUE"""),307622)</f>
        <v>307622</v>
      </c>
      <c r="AW102" s="70" t="n">
        <f aca="false">IFERROR(__xludf.dummyfunction("""COMPUTED_VALUE"""),3048690)</f>
        <v>3048690</v>
      </c>
      <c r="AX102" s="70" t="n">
        <f aca="false">IFERROR(__xludf.dummyfunction("""COMPUTED_VALUE"""),2501632)</f>
        <v>2501632</v>
      </c>
      <c r="AY102" s="70" t="n">
        <f aca="false">IFERROR(__xludf.dummyfunction("""COMPUTED_VALUE"""),1023616)</f>
        <v>1023616</v>
      </c>
      <c r="AZ102" s="70" t="n">
        <f aca="false">IFERROR(__xludf.dummyfunction("""COMPUTED_VALUE"""),2281581)</f>
        <v>2281581</v>
      </c>
      <c r="BA102" s="70" t="n">
        <f aca="false">IFERROR(__xludf.dummyfunction("""COMPUTED_VALUE"""),260997)</f>
        <v>260997</v>
      </c>
    </row>
    <row r="103" customFormat="false" ht="15.75" hidden="false" customHeight="false" outlineLevel="0" collapsed="false">
      <c r="A103" s="78" t="str">
        <f aca="false">IFERROR(__xludf.dummyfunction("""COMPUTED_VALUE"""),"total_value")</f>
        <v>total_value</v>
      </c>
      <c r="B103" s="72" t="n">
        <f aca="false">IFERROR(__xludf.dummyfunction("""COMPUTED_VALUE"""),122846556)</f>
        <v>122846556</v>
      </c>
      <c r="C103" s="73" t="n">
        <f aca="false">IFERROR(__xludf.dummyfunction("""COMPUTED_VALUE"""),2538190)</f>
        <v>2538190</v>
      </c>
      <c r="D103" s="70" t="n">
        <f aca="false">IFERROR(__xludf.dummyfunction("""COMPUTED_VALUE"""),273107)</f>
        <v>273107</v>
      </c>
      <c r="E103" s="70" t="n">
        <f aca="false">IFERROR(__xludf.dummyfunction("""COMPUTED_VALUE"""),2454453)</f>
        <v>2454453</v>
      </c>
      <c r="F103" s="70" t="n">
        <f aca="false">IFERROR(__xludf.dummyfunction("""COMPUTED_VALUE"""),1305642)</f>
        <v>1305642</v>
      </c>
      <c r="G103" s="70" t="n">
        <f aca="false">IFERROR(__xludf.dummyfunction("""COMPUTED_VALUE"""),10492797)</f>
        <v>10492797</v>
      </c>
      <c r="H103" s="70" t="n">
        <f aca="false">IFERROR(__xludf.dummyfunction("""COMPUTED_VALUE"""),2521812)</f>
        <v>2521812</v>
      </c>
      <c r="I103" s="70" t="n">
        <f aca="false">IFERROR(__xludf.dummyfunction("""COMPUTED_VALUE"""),1244186)</f>
        <v>1244186</v>
      </c>
      <c r="J103" s="70" t="n">
        <f aca="false">IFERROR(__xludf.dummyfunction("""COMPUTED_VALUE"""),522981)</f>
        <v>522981</v>
      </c>
      <c r="K103" s="70" t="n">
        <f aca="false">IFERROR(__xludf.dummyfunction("""COMPUTED_VALUE"""),179761)</f>
        <v>179761</v>
      </c>
      <c r="L103" s="70" t="n">
        <f aca="false">IFERROR(__xludf.dummyfunction("""COMPUTED_VALUE"""),8345138)</f>
        <v>8345138</v>
      </c>
      <c r="M103" s="70" t="n">
        <f aca="false">IFERROR(__xludf.dummyfunction("""COMPUTED_VALUE"""),4401617)</f>
        <v>4401617</v>
      </c>
      <c r="N103" s="70" t="n">
        <f aca="false">IFERROR(__xludf.dummyfunction("""COMPUTED_VALUE"""),666704)</f>
        <v>666704</v>
      </c>
      <c r="O103" s="70" t="n">
        <f aca="false">IFERROR(__xludf.dummyfunction("""COMPUTED_VALUE"""),804794)</f>
        <v>804794</v>
      </c>
      <c r="P103" s="70" t="n">
        <f aca="false">IFERROR(__xludf.dummyfunction("""COMPUTED_VALUE"""),4493896)</f>
        <v>4493896</v>
      </c>
      <c r="Q103" s="70" t="n">
        <f aca="false">IFERROR(__xludf.dummyfunction("""COMPUTED_VALUE"""),2424853)</f>
        <v>2424853</v>
      </c>
      <c r="R103" s="70" t="n">
        <f aca="false">IFERROR(__xludf.dummyfunction("""COMPUTED_VALUE"""),1622692)</f>
        <v>1622692</v>
      </c>
      <c r="S103" s="70" t="n">
        <f aca="false">IFERROR(__xludf.dummyfunction("""COMPUTED_VALUE"""),1091085)</f>
        <v>1091085</v>
      </c>
      <c r="T103" s="70" t="n">
        <f aca="false">IFERROR(__xludf.dummyfunction("""COMPUTED_VALUE"""),2008216)</f>
        <v>2008216</v>
      </c>
      <c r="U103" s="70" t="n">
        <f aca="false">IFERROR(__xludf.dummyfunction("""COMPUTED_VALUE"""),1886469)</f>
        <v>1886469</v>
      </c>
      <c r="V103" s="70" t="n">
        <f aca="false">IFERROR(__xludf.dummyfunction("""COMPUTED_VALUE"""),682598)</f>
        <v>682598</v>
      </c>
      <c r="W103" s="70" t="n">
        <f aca="false">IFERROR(__xludf.dummyfunction("""COMPUTED_VALUE"""),2206455)</f>
        <v>2206455</v>
      </c>
      <c r="X103" s="70" t="n">
        <f aca="false">IFERROR(__xludf.dummyfunction("""COMPUTED_VALUE"""),2269973)</f>
        <v>2269973</v>
      </c>
      <c r="Y103" s="70" t="n">
        <f aca="false">IFERROR(__xludf.dummyfunction("""COMPUTED_VALUE"""),4088490)</f>
        <v>4088490</v>
      </c>
      <c r="Z103" s="70" t="n">
        <f aca="false">IFERROR(__xludf.dummyfunction("""COMPUTED_VALUE"""),2310382)</f>
        <v>2310382</v>
      </c>
      <c r="AA103" s="70" t="n">
        <f aca="false">IFERROR(__xludf.dummyfunction("""COMPUTED_VALUE"""),1508614)</f>
        <v>1508614</v>
      </c>
      <c r="AB103" s="70" t="n">
        <f aca="false">IFERROR(__xludf.dummyfunction("""COMPUTED_VALUE"""),2750254)</f>
        <v>2750254</v>
      </c>
      <c r="AC103" s="70" t="n">
        <f aca="false">IFERROR(__xludf.dummyfunction("""COMPUTED_VALUE"""),475306)</f>
        <v>475306</v>
      </c>
      <c r="AD103" s="70" t="n">
        <f aca="false">IFERROR(__xludf.dummyfunction("""COMPUTED_VALUE"""),776233)</f>
        <v>776233</v>
      </c>
      <c r="AE103" s="70" t="n">
        <f aca="false">IFERROR(__xludf.dummyfunction("""COMPUTED_VALUE"""),1010034)</f>
        <v>1010034</v>
      </c>
      <c r="AF103" s="70" t="n">
        <f aca="false">IFERROR(__xludf.dummyfunction("""COMPUTED_VALUE"""),592597)</f>
        <v>592597</v>
      </c>
      <c r="AG103" s="70" t="n">
        <f aca="false">IFERROR(__xludf.dummyfunction("""COMPUTED_VALUE"""),2875594)</f>
        <v>2875594</v>
      </c>
      <c r="AH103" s="70" t="n">
        <f aca="false">IFERROR(__xludf.dummyfunction("""COMPUTED_VALUE"""),1047534)</f>
        <v>1047534</v>
      </c>
      <c r="AI103" s="70" t="n">
        <f aca="false">IFERROR(__xludf.dummyfunction("""COMPUTED_VALUE"""),5665511)</f>
        <v>5665511</v>
      </c>
      <c r="AJ103" s="70" t="n">
        <f aca="false">IFERROR(__xludf.dummyfunction("""COMPUTED_VALUE"""),4630880)</f>
        <v>4630880</v>
      </c>
      <c r="AK103" s="70" t="n">
        <f aca="false">IFERROR(__xludf.dummyfunction("""COMPUTED_VALUE"""),279437)</f>
        <v>279437</v>
      </c>
      <c r="AL103" s="70" t="n">
        <f aca="false">IFERROR(__xludf.dummyfunction("""COMPUTED_VALUE"""),4355716)</f>
        <v>4355716</v>
      </c>
      <c r="AM103" s="70" t="n">
        <f aca="false">IFERROR(__xludf.dummyfunction("""COMPUTED_VALUE"""),2132748)</f>
        <v>2132748</v>
      </c>
      <c r="AN103" s="70" t="n">
        <f aca="false">IFERROR(__xludf.dummyfunction("""COMPUTED_VALUE"""),1617610)</f>
        <v>1617610</v>
      </c>
      <c r="AO103" s="70" t="n">
        <f aca="false">IFERROR(__xludf.dummyfunction("""COMPUTED_VALUE"""),4513523)</f>
        <v>4513523</v>
      </c>
      <c r="AP103" s="70" t="n">
        <f aca="false">IFERROR(__xludf.dummyfunction("""COMPUTED_VALUE"""),370115)</f>
        <v>370115</v>
      </c>
      <c r="AQ103" s="70" t="n">
        <f aca="false">IFERROR(__xludf.dummyfunction("""COMPUTED_VALUE"""),2439692)</f>
        <v>2439692</v>
      </c>
      <c r="AR103" s="70" t="n">
        <f aca="false">IFERROR(__xludf.dummyfunction("""COMPUTED_VALUE"""),344526)</f>
        <v>344526</v>
      </c>
      <c r="AS103" s="70" t="n">
        <f aca="false">IFERROR(__xludf.dummyfunction("""COMPUTED_VALUE"""),3408384)</f>
        <v>3408384</v>
      </c>
      <c r="AT103" s="70" t="n">
        <f aca="false">IFERROR(__xludf.dummyfunction("""COMPUTED_VALUE"""),9693799)</f>
        <v>9693799</v>
      </c>
      <c r="AU103" s="70" t="n">
        <f aca="false">IFERROR(__xludf.dummyfunction("""COMPUTED_VALUE"""),1129051)</f>
        <v>1129051</v>
      </c>
      <c r="AV103" s="70" t="n">
        <f aca="false">IFERROR(__xludf.dummyfunction("""COMPUTED_VALUE"""),356511)</f>
        <v>356511</v>
      </c>
      <c r="AW103" s="70" t="n">
        <f aca="false">IFERROR(__xludf.dummyfunction("""COMPUTED_VALUE"""),3485266)</f>
        <v>3485266</v>
      </c>
      <c r="AX103" s="70" t="n">
        <f aca="false">IFERROR(__xludf.dummyfunction("""COMPUTED_VALUE"""),2643686)</f>
        <v>2643686</v>
      </c>
      <c r="AY103" s="70" t="n">
        <f aca="false">IFERROR(__xludf.dummyfunction("""COMPUTED_VALUE"""),1079560)</f>
        <v>1079560</v>
      </c>
      <c r="AZ103" s="70" t="n">
        <f aca="false">IFERROR(__xludf.dummyfunction("""COMPUTED_VALUE"""),2543203)</f>
        <v>2543203</v>
      </c>
      <c r="BA103" s="70" t="n">
        <f aca="false">IFERROR(__xludf.dummyfunction("""COMPUTED_VALUE"""),267735)</f>
        <v>267735</v>
      </c>
    </row>
    <row r="104" customFormat="false" ht="15.75" hidden="false" customHeight="false" outlineLevel="0" collapsed="false">
      <c r="B104" s="59"/>
      <c r="C104" s="79"/>
      <c r="D104" s="80"/>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row>
    <row r="105" customFormat="false" ht="15.75" hidden="false" customHeight="false" outlineLevel="0" collapsed="false">
      <c r="A105" s="74" t="s">
        <v>1817</v>
      </c>
      <c r="B105" s="7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row>
    <row r="106" customFormat="false" ht="15.75" hidden="false" customHeight="false" outlineLevel="0" collapsed="false">
      <c r="A106" s="75" t="str">
        <f aca="false">IFERROR(__xludf.dummyfunction("TRANSPOSE(IMPORTRANGE(""https://docs.google.com/spreadsheets/d/1sNrf4xlwHQ-LujHTd1_nLHq6duGtTzjk33k9jntfg4c"", ""'Market Assessments'!F4:I56""))"),"year")</f>
        <v>year</v>
      </c>
      <c r="B106" s="56" t="n">
        <f aca="false">IFERROR(__xludf.dummyfunction("""COMPUTED_VALUE"""),107429879)</f>
        <v>107429879</v>
      </c>
      <c r="C106" s="76" t="n">
        <f aca="false">IFERROR(__xludf.dummyfunction("""COMPUTED_VALUE"""),2560310)</f>
        <v>2560310</v>
      </c>
      <c r="D106" s="77" t="n">
        <f aca="false">IFERROR(__xludf.dummyfunction("""COMPUTED_VALUE"""),279260)</f>
        <v>279260</v>
      </c>
      <c r="E106" s="77" t="n">
        <f aca="false">IFERROR(__xludf.dummyfunction("""COMPUTED_VALUE"""),2494196)</f>
        <v>2494196</v>
      </c>
      <c r="F106" s="77" t="n">
        <f aca="false">IFERROR(__xludf.dummyfunction("""COMPUTED_VALUE"""),1308915)</f>
        <v>1308915</v>
      </c>
      <c r="G106" s="77" t="n">
        <f aca="false">IFERROR(__xludf.dummyfunction("""COMPUTED_VALUE"""),380361)</f>
        <v>380361</v>
      </c>
      <c r="H106" s="77" t="n">
        <f aca="false">IFERROR(__xludf.dummyfunction("""COMPUTED_VALUE"""),2529092)</f>
        <v>2529092</v>
      </c>
      <c r="I106" s="77" t="n">
        <f aca="false">IFERROR(__xludf.dummyfunction("""COMPUTED_VALUE"""),94210)</f>
        <v>94210</v>
      </c>
      <c r="J106" s="77" t="n">
        <f aca="false">IFERROR(__xludf.dummyfunction("""COMPUTED_VALUE"""),274218)</f>
        <v>274218</v>
      </c>
      <c r="K106" s="77" t="n">
        <f aca="false">IFERROR(__xludf.dummyfunction("""COMPUTED_VALUE"""),179821)</f>
        <v>179821</v>
      </c>
      <c r="L106" s="77" t="n">
        <f aca="false">IFERROR(__xludf.dummyfunction("""COMPUTED_VALUE"""),8394821)</f>
        <v>8394821</v>
      </c>
      <c r="M106" s="77" t="n">
        <f aca="false">IFERROR(__xludf.dummyfunction("""COMPUTED_VALUE"""),4408318)</f>
        <v>4408318</v>
      </c>
      <c r="N106" s="77" t="n">
        <f aca="false">IFERROR(__xludf.dummyfunction("""COMPUTED_VALUE"""),667120)</f>
        <v>667120</v>
      </c>
      <c r="O106" s="77" t="n">
        <f aca="false">IFERROR(__xludf.dummyfunction("""COMPUTED_VALUE"""),831245)</f>
        <v>831245</v>
      </c>
      <c r="P106" s="77" t="n">
        <f aca="false">IFERROR(__xludf.dummyfunction("""COMPUTED_VALUE"""),4447750)</f>
        <v>4447750</v>
      </c>
      <c r="Q106" s="77" t="n">
        <f aca="false">IFERROR(__xludf.dummyfunction("""COMPUTED_VALUE"""),2425394)</f>
        <v>2425394</v>
      </c>
      <c r="R106" s="77" t="n">
        <f aca="false">IFERROR(__xludf.dummyfunction("""COMPUTED_VALUE"""),1628614)</f>
        <v>1628614</v>
      </c>
      <c r="S106" s="77" t="n">
        <f aca="false">IFERROR(__xludf.dummyfunction("""COMPUTED_VALUE"""),1122909)</f>
        <v>1122909</v>
      </c>
      <c r="T106" s="77" t="n">
        <f aca="false">IFERROR(__xludf.dummyfunction("""COMPUTED_VALUE"""),2006393)</f>
        <v>2006393</v>
      </c>
      <c r="U106" s="77" t="n">
        <f aca="false">IFERROR(__xludf.dummyfunction("""COMPUTED_VALUE"""),1655585)</f>
        <v>1655585</v>
      </c>
      <c r="V106" s="77" t="n">
        <f aca="false">IFERROR(__xludf.dummyfunction("""COMPUTED_VALUE"""),124408)</f>
        <v>124408</v>
      </c>
      <c r="W106" s="77" t="n">
        <f aca="false">IFERROR(__xludf.dummyfunction("""COMPUTED_VALUE"""),2214128)</f>
        <v>2214128</v>
      </c>
      <c r="X106" s="77" t="n">
        <f aca="false">IFERROR(__xludf.dummyfunction("""COMPUTED_VALUE"""),220154)</f>
        <v>220154</v>
      </c>
      <c r="Y106" s="77" t="n">
        <f aca="false">IFERROR(__xludf.dummyfunction("""COMPUTED_VALUE"""),4060004)</f>
        <v>4060004</v>
      </c>
      <c r="Z106" s="77" t="n">
        <f aca="false">IFERROR(__xludf.dummyfunction("""COMPUTED_VALUE"""),2354638)</f>
        <v>2354638</v>
      </c>
      <c r="AA106" s="77" t="n">
        <f aca="false">IFERROR(__xludf.dummyfunction("""COMPUTED_VALUE"""),1537247)</f>
        <v>1537247</v>
      </c>
      <c r="AB106" s="77" t="n">
        <f aca="false">IFERROR(__xludf.dummyfunction("""COMPUTED_VALUE"""),2747098)</f>
        <v>2747098</v>
      </c>
      <c r="AC106" s="77" t="n">
        <f aca="false">IFERROR(__xludf.dummyfunction("""COMPUTED_VALUE"""),481332)</f>
        <v>481332</v>
      </c>
      <c r="AD106" s="77" t="n">
        <f aca="false">IFERROR(__xludf.dummyfunction("""COMPUTED_VALUE"""),757728)</f>
        <v>757728</v>
      </c>
      <c r="AE106" s="77" t="n">
        <f aca="false">IFERROR(__xludf.dummyfunction("""COMPUTED_VALUE"""),1014817)</f>
        <v>1014817</v>
      </c>
      <c r="AF106" s="77" t="n">
        <f aca="false">IFERROR(__xludf.dummyfunction("""COMPUTED_VALUE"""),61857)</f>
        <v>61857</v>
      </c>
      <c r="AG106" s="77" t="n">
        <f aca="false">IFERROR(__xludf.dummyfunction("""COMPUTED_VALUE"""),2876686)</f>
        <v>2876686</v>
      </c>
      <c r="AH106" s="77" t="n">
        <f aca="false">IFERROR(__xludf.dummyfunction("""COMPUTED_VALUE"""),1112801)</f>
        <v>1112801</v>
      </c>
      <c r="AI106" s="77" t="n">
        <f aca="false">IFERROR(__xludf.dummyfunction("""COMPUTED_VALUE"""),5677465)</f>
        <v>5677465</v>
      </c>
      <c r="AJ106" s="77" t="n">
        <f aca="false">IFERROR(__xludf.dummyfunction("""COMPUTED_VALUE"""),4285042)</f>
        <v>4285042</v>
      </c>
      <c r="AK106" s="77" t="n">
        <f aca="false">IFERROR(__xludf.dummyfunction("""COMPUTED_VALUE"""),292961)</f>
        <v>292961</v>
      </c>
      <c r="AL106" s="77" t="n">
        <f aca="false">IFERROR(__xludf.dummyfunction("""COMPUTED_VALUE"""),4371134)</f>
        <v>4371134</v>
      </c>
      <c r="AM106" s="77" t="n">
        <f aca="false">IFERROR(__xludf.dummyfunction("""COMPUTED_VALUE"""),2142904)</f>
        <v>2142904</v>
      </c>
      <c r="AN106" s="77" t="n">
        <f aca="false">IFERROR(__xludf.dummyfunction("""COMPUTED_VALUE"""),1644266)</f>
        <v>1644266</v>
      </c>
      <c r="AO106" s="77" t="n">
        <f aca="false">IFERROR(__xludf.dummyfunction("""COMPUTED_VALUE"""),4936306)</f>
        <v>4936306</v>
      </c>
      <c r="AP106" s="77" t="n">
        <f aca="false">IFERROR(__xludf.dummyfunction("""COMPUTED_VALUE"""),44931)</f>
        <v>44931</v>
      </c>
      <c r="AQ106" s="77" t="n">
        <f aca="false">IFERROR(__xludf.dummyfunction("""COMPUTED_VALUE"""),2525711)</f>
        <v>2525711</v>
      </c>
      <c r="AR106" s="77" t="n">
        <f aca="false">IFERROR(__xludf.dummyfunction("""COMPUTED_VALUE"""),48852)</f>
        <v>48852</v>
      </c>
      <c r="AS106" s="77" t="n">
        <f aca="false">IFERROR(__xludf.dummyfunction("""COMPUTED_VALUE"""),3431117)</f>
        <v>3431117</v>
      </c>
      <c r="AT106" s="77" t="n">
        <f aca="false">IFERROR(__xludf.dummyfunction("""COMPUTED_VALUE"""),9805857)</f>
        <v>9805857</v>
      </c>
      <c r="AU106" s="77" t="n">
        <f aca="false">IFERROR(__xludf.dummyfunction("""COMPUTED_VALUE"""),1144404)</f>
        <v>1144404</v>
      </c>
      <c r="AV106" s="77" t="n">
        <f aca="false">IFERROR(__xludf.dummyfunction("""COMPUTED_VALUE"""),112563)</f>
        <v>112563</v>
      </c>
      <c r="AW106" s="77" t="n">
        <f aca="false">IFERROR(__xludf.dummyfunction("""COMPUTED_VALUE"""),3509456)</f>
        <v>3509456</v>
      </c>
      <c r="AX106" s="77" t="n">
        <f aca="false">IFERROR(__xludf.dummyfunction("""COMPUTED_VALUE"""),2660780)</f>
        <v>2660780</v>
      </c>
      <c r="AY106" s="77" t="n">
        <f aca="false">IFERROR(__xludf.dummyfunction("""COMPUTED_VALUE"""),1027397)</f>
        <v>1027397</v>
      </c>
      <c r="AZ106" s="77" t="n">
        <f aca="false">IFERROR(__xludf.dummyfunction("""COMPUTED_VALUE"""),2249090)</f>
        <v>2249090</v>
      </c>
      <c r="BA106" s="77" t="n">
        <f aca="false">IFERROR(__xludf.dummyfunction("""COMPUTED_VALUE"""),268213)</f>
        <v>268213</v>
      </c>
    </row>
    <row r="107" customFormat="false" ht="15.75" hidden="false" customHeight="false" outlineLevel="0" collapsed="false">
      <c r="A107" s="78" t="str">
        <f aca="false">IFERROR(__xludf.dummyfunction("""COMPUTED_VALUE"""),"land_value")</f>
        <v>land_value</v>
      </c>
      <c r="B107" s="72" t="n">
        <f aca="false">IFERROR(__xludf.dummyfunction("""COMPUTED_VALUE"""),91232677)</f>
        <v>91232677</v>
      </c>
      <c r="C107" s="73" t="n">
        <f aca="false">IFERROR(__xludf.dummyfunction("""COMPUTED_VALUE"""),2449706)</f>
        <v>2449706</v>
      </c>
      <c r="D107" s="70" t="n">
        <f aca="false">IFERROR(__xludf.dummyfunction("""COMPUTED_VALUE"""),240085)</f>
        <v>240085</v>
      </c>
      <c r="E107" s="70" t="n">
        <f aca="false">IFERROR(__xludf.dummyfunction("""COMPUTED_VALUE"""),2125361)</f>
        <v>2125361</v>
      </c>
      <c r="F107" s="70" t="n">
        <f aca="false">IFERROR(__xludf.dummyfunction("""COMPUTED_VALUE"""),1222146)</f>
        <v>1222146</v>
      </c>
      <c r="G107" s="70" t="n">
        <f aca="false">IFERROR(__xludf.dummyfunction("""COMPUTED_VALUE"""),0)</f>
        <v>0</v>
      </c>
      <c r="H107" s="70" t="n">
        <f aca="false">IFERROR(__xludf.dummyfunction("""COMPUTED_VALUE"""),2243488)</f>
        <v>2243488</v>
      </c>
      <c r="I107" s="70" t="n">
        <f aca="false">IFERROR(__xludf.dummyfunction("""COMPUTED_VALUE"""),0)</f>
        <v>0</v>
      </c>
      <c r="J107" s="70" t="n">
        <f aca="false">IFERROR(__xludf.dummyfunction("""COMPUTED_VALUE"""),223791)</f>
        <v>223791</v>
      </c>
      <c r="K107" s="70" t="n">
        <f aca="false">IFERROR(__xludf.dummyfunction("""COMPUTED_VALUE"""),179740)</f>
        <v>179740</v>
      </c>
      <c r="L107" s="70" t="n">
        <f aca="false">IFERROR(__xludf.dummyfunction("""COMPUTED_VALUE"""),6834832)</f>
        <v>6834832</v>
      </c>
      <c r="M107" s="70" t="n">
        <f aca="false">IFERROR(__xludf.dummyfunction("""COMPUTED_VALUE"""),4139783)</f>
        <v>4139783</v>
      </c>
      <c r="N107" s="70" t="n">
        <f aca="false">IFERROR(__xludf.dummyfunction("""COMPUTED_VALUE"""),631281)</f>
        <v>631281</v>
      </c>
      <c r="O107" s="70" t="n">
        <f aca="false">IFERROR(__xludf.dummyfunction("""COMPUTED_VALUE"""),540873)</f>
        <v>540873</v>
      </c>
      <c r="P107" s="70" t="n">
        <f aca="false">IFERROR(__xludf.dummyfunction("""COMPUTED_VALUE"""),3988388)</f>
        <v>3988388</v>
      </c>
      <c r="Q107" s="70" t="n">
        <f aca="false">IFERROR(__xludf.dummyfunction("""COMPUTED_VALUE"""),2413526)</f>
        <v>2413526</v>
      </c>
      <c r="R107" s="70" t="n">
        <f aca="false">IFERROR(__xludf.dummyfunction("""COMPUTED_VALUE"""),1400298)</f>
        <v>1400298</v>
      </c>
      <c r="S107" s="70" t="n">
        <f aca="false">IFERROR(__xludf.dummyfunction("""COMPUTED_VALUE"""),1099637)</f>
        <v>1099637</v>
      </c>
      <c r="T107" s="70" t="n">
        <f aca="false">IFERROR(__xludf.dummyfunction("""COMPUTED_VALUE"""),897076)</f>
        <v>897076</v>
      </c>
      <c r="U107" s="70" t="n">
        <f aca="false">IFERROR(__xludf.dummyfunction("""COMPUTED_VALUE"""),1530864)</f>
        <v>1530864</v>
      </c>
      <c r="V107" s="70" t="n">
        <f aca="false">IFERROR(__xludf.dummyfunction("""COMPUTED_VALUE"""),0)</f>
        <v>0</v>
      </c>
      <c r="W107" s="70" t="n">
        <f aca="false">IFERROR(__xludf.dummyfunction("""COMPUTED_VALUE"""),2203439)</f>
        <v>2203439</v>
      </c>
      <c r="X107" s="70" t="n">
        <f aca="false">IFERROR(__xludf.dummyfunction("""COMPUTED_VALUE"""),0)</f>
        <v>0</v>
      </c>
      <c r="Y107" s="70" t="n">
        <f aca="false">IFERROR(__xludf.dummyfunction("""COMPUTED_VALUE"""),587898)</f>
        <v>587898</v>
      </c>
      <c r="Z107" s="70" t="n">
        <f aca="false">IFERROR(__xludf.dummyfunction("""COMPUTED_VALUE"""),2283919)</f>
        <v>2283919</v>
      </c>
      <c r="AA107" s="70" t="n">
        <f aca="false">IFERROR(__xludf.dummyfunction("""COMPUTED_VALUE"""),1504907)</f>
        <v>1504907</v>
      </c>
      <c r="AB107" s="70" t="n">
        <f aca="false">IFERROR(__xludf.dummyfunction("""COMPUTED_VALUE"""),1915436)</f>
        <v>1915436</v>
      </c>
      <c r="AC107" s="70" t="n">
        <f aca="false">IFERROR(__xludf.dummyfunction("""COMPUTED_VALUE"""),420818)</f>
        <v>420818</v>
      </c>
      <c r="AD107" s="70" t="n">
        <f aca="false">IFERROR(__xludf.dummyfunction("""COMPUTED_VALUE"""),729869)</f>
        <v>729869</v>
      </c>
      <c r="AE107" s="70" t="n">
        <f aca="false">IFERROR(__xludf.dummyfunction("""COMPUTED_VALUE"""),1008547)</f>
        <v>1008547</v>
      </c>
      <c r="AF107" s="70" t="n">
        <f aca="false">IFERROR(__xludf.dummyfunction("""COMPUTED_VALUE"""),315)</f>
        <v>315</v>
      </c>
      <c r="AG107" s="70" t="n">
        <f aca="false">IFERROR(__xludf.dummyfunction("""COMPUTED_VALUE"""),2857800)</f>
        <v>2857800</v>
      </c>
      <c r="AH107" s="70" t="n">
        <f aca="false">IFERROR(__xludf.dummyfunction("""COMPUTED_VALUE"""),858317)</f>
        <v>858317</v>
      </c>
      <c r="AI107" s="70" t="n">
        <f aca="false">IFERROR(__xludf.dummyfunction("""COMPUTED_VALUE"""),4900191)</f>
        <v>4900191</v>
      </c>
      <c r="AJ107" s="70" t="n">
        <f aca="false">IFERROR(__xludf.dummyfunction("""COMPUTED_VALUE"""),4049783)</f>
        <v>4049783</v>
      </c>
      <c r="AK107" s="70" t="n">
        <f aca="false">IFERROR(__xludf.dummyfunction("""COMPUTED_VALUE"""),253852)</f>
        <v>253852</v>
      </c>
      <c r="AL107" s="70" t="n">
        <f aca="false">IFERROR(__xludf.dummyfunction("""COMPUTED_VALUE"""),4297182)</f>
        <v>4297182</v>
      </c>
      <c r="AM107" s="70" t="n">
        <f aca="false">IFERROR(__xludf.dummyfunction("""COMPUTED_VALUE"""),2120592)</f>
        <v>2120592</v>
      </c>
      <c r="AN107" s="70" t="n">
        <f aca="false">IFERROR(__xludf.dummyfunction("""COMPUTED_VALUE"""),1395584)</f>
        <v>1395584</v>
      </c>
      <c r="AO107" s="70" t="n">
        <f aca="false">IFERROR(__xludf.dummyfunction("""COMPUTED_VALUE"""),4115938)</f>
        <v>4115938</v>
      </c>
      <c r="AP107" s="70" t="n">
        <f aca="false">IFERROR(__xludf.dummyfunction("""COMPUTED_VALUE"""),0)</f>
        <v>0</v>
      </c>
      <c r="AQ107" s="70" t="n">
        <f aca="false">IFERROR(__xludf.dummyfunction("""COMPUTED_VALUE"""),1906190)</f>
        <v>1906190</v>
      </c>
      <c r="AR107" s="70" t="n">
        <f aca="false">IFERROR(__xludf.dummyfunction("""COMPUTED_VALUE"""),27037)</f>
        <v>27037</v>
      </c>
      <c r="AS107" s="70" t="n">
        <f aca="false">IFERROR(__xludf.dummyfunction("""COMPUTED_VALUE"""),3324542)</f>
        <v>3324542</v>
      </c>
      <c r="AT107" s="70" t="n">
        <f aca="false">IFERROR(__xludf.dummyfunction("""COMPUTED_VALUE"""),9174196)</f>
        <v>9174196</v>
      </c>
      <c r="AU107" s="70" t="n">
        <f aca="false">IFERROR(__xludf.dummyfunction("""COMPUTED_VALUE"""),1129732)</f>
        <v>1129732</v>
      </c>
      <c r="AV107" s="70" t="n">
        <f aca="false">IFERROR(__xludf.dummyfunction("""COMPUTED_VALUE"""),0)</f>
        <v>0</v>
      </c>
      <c r="AW107" s="70" t="n">
        <f aca="false">IFERROR(__xludf.dummyfunction("""COMPUTED_VALUE"""),3463522)</f>
        <v>3463522</v>
      </c>
      <c r="AX107" s="70" t="n">
        <f aca="false">IFERROR(__xludf.dummyfunction("""COMPUTED_VALUE"""),2496399)</f>
        <v>2496399</v>
      </c>
      <c r="AY107" s="70" t="n">
        <f aca="false">IFERROR(__xludf.dummyfunction("""COMPUTED_VALUE"""),1026925)</f>
        <v>1026925</v>
      </c>
      <c r="AZ107" s="70" t="n">
        <f aca="false">IFERROR(__xludf.dummyfunction("""COMPUTED_VALUE"""),790051)</f>
        <v>790051</v>
      </c>
      <c r="BA107" s="70" t="n">
        <f aca="false">IFERROR(__xludf.dummyfunction("""COMPUTED_VALUE"""),228821)</f>
        <v>228821</v>
      </c>
    </row>
    <row r="108" customFormat="false" ht="15.75" hidden="false" customHeight="false" outlineLevel="0" collapsed="false">
      <c r="A108" s="78" t="str">
        <f aca="false">IFERROR(__xludf.dummyfunction("""COMPUTED_VALUE"""),"improvement_value")</f>
        <v>improvement_value</v>
      </c>
      <c r="B108" s="72" t="n">
        <f aca="false">IFERROR(__xludf.dummyfunction("""COMPUTED_VALUE"""),89300107)</f>
        <v>89300107</v>
      </c>
      <c r="C108" s="73" t="n">
        <f aca="false">IFERROR(__xludf.dummyfunction("""COMPUTED_VALUE"""),2156302)</f>
        <v>2156302</v>
      </c>
      <c r="D108" s="70" t="n">
        <f aca="false">IFERROR(__xludf.dummyfunction("""COMPUTED_VALUE"""),239257)</f>
        <v>239257</v>
      </c>
      <c r="E108" s="70" t="n">
        <f aca="false">IFERROR(__xludf.dummyfunction("""COMPUTED_VALUE"""),2060079)</f>
        <v>2060079</v>
      </c>
      <c r="F108" s="70" t="n">
        <f aca="false">IFERROR(__xludf.dummyfunction("""COMPUTED_VALUE"""),1214701)</f>
        <v>1214701</v>
      </c>
      <c r="G108" s="70" t="n">
        <f aca="false">IFERROR(__xludf.dummyfunction("""COMPUTED_VALUE"""),0)</f>
        <v>0</v>
      </c>
      <c r="H108" s="70" t="n">
        <f aca="false">IFERROR(__xludf.dummyfunction("""COMPUTED_VALUE"""),2389388)</f>
        <v>2389388</v>
      </c>
      <c r="I108" s="70" t="n">
        <f aca="false">IFERROR(__xludf.dummyfunction("""COMPUTED_VALUE"""),0)</f>
        <v>0</v>
      </c>
      <c r="J108" s="70" t="n">
        <f aca="false">IFERROR(__xludf.dummyfunction("""COMPUTED_VALUE"""),259836)</f>
        <v>259836</v>
      </c>
      <c r="K108" s="70" t="n">
        <f aca="false">IFERROR(__xludf.dummyfunction("""COMPUTED_VALUE"""),179091)</f>
        <v>179091</v>
      </c>
      <c r="L108" s="70" t="n">
        <f aca="false">IFERROR(__xludf.dummyfunction("""COMPUTED_VALUE"""),7533621)</f>
        <v>7533621</v>
      </c>
      <c r="M108" s="70" t="n">
        <f aca="false">IFERROR(__xludf.dummyfunction("""COMPUTED_VALUE"""),3995377)</f>
        <v>3995377</v>
      </c>
      <c r="N108" s="70" t="n">
        <f aca="false">IFERROR(__xludf.dummyfunction("""COMPUTED_VALUE"""),621497)</f>
        <v>621497</v>
      </c>
      <c r="O108" s="70" t="n">
        <f aca="false">IFERROR(__xludf.dummyfunction("""COMPUTED_VALUE"""),500483)</f>
        <v>500483</v>
      </c>
      <c r="P108" s="70" t="n">
        <f aca="false">IFERROR(__xludf.dummyfunction("""COMPUTED_VALUE"""),3887809)</f>
        <v>3887809</v>
      </c>
      <c r="Q108" s="70" t="n">
        <f aca="false">IFERROR(__xludf.dummyfunction("""COMPUTED_VALUE"""),2367753)</f>
        <v>2367753</v>
      </c>
      <c r="R108" s="70" t="n">
        <f aca="false">IFERROR(__xludf.dummyfunction("""COMPUTED_VALUE"""),1262703)</f>
        <v>1262703</v>
      </c>
      <c r="S108" s="70" t="n">
        <f aca="false">IFERROR(__xludf.dummyfunction("""COMPUTED_VALUE"""),1061638)</f>
        <v>1061638</v>
      </c>
      <c r="T108" s="70" t="n">
        <f aca="false">IFERROR(__xludf.dummyfunction("""COMPUTED_VALUE"""),790757)</f>
        <v>790757</v>
      </c>
      <c r="U108" s="70" t="n">
        <f aca="false">IFERROR(__xludf.dummyfunction("""COMPUTED_VALUE"""),1567318)</f>
        <v>1567318</v>
      </c>
      <c r="V108" s="70" t="n">
        <f aca="false">IFERROR(__xludf.dummyfunction("""COMPUTED_VALUE"""),0)</f>
        <v>0</v>
      </c>
      <c r="W108" s="70" t="n">
        <f aca="false">IFERROR(__xludf.dummyfunction("""COMPUTED_VALUE"""),2158336)</f>
        <v>2158336</v>
      </c>
      <c r="X108" s="70" t="n">
        <f aca="false">IFERROR(__xludf.dummyfunction("""COMPUTED_VALUE"""),0)</f>
        <v>0</v>
      </c>
      <c r="Y108" s="70" t="n">
        <f aca="false">IFERROR(__xludf.dummyfunction("""COMPUTED_VALUE"""),418793)</f>
        <v>418793</v>
      </c>
      <c r="Z108" s="70" t="n">
        <f aca="false">IFERROR(__xludf.dummyfunction("""COMPUTED_VALUE"""),2128477)</f>
        <v>2128477</v>
      </c>
      <c r="AA108" s="70" t="n">
        <f aca="false">IFERROR(__xludf.dummyfunction("""COMPUTED_VALUE"""),1182169)</f>
        <v>1182169</v>
      </c>
      <c r="AB108" s="70" t="n">
        <f aca="false">IFERROR(__xludf.dummyfunction("""COMPUTED_VALUE"""),1719010)</f>
        <v>1719010</v>
      </c>
      <c r="AC108" s="70" t="n">
        <f aca="false">IFERROR(__xludf.dummyfunction("""COMPUTED_VALUE"""),462507)</f>
        <v>462507</v>
      </c>
      <c r="AD108" s="70" t="n">
        <f aca="false">IFERROR(__xludf.dummyfunction("""COMPUTED_VALUE"""),696980)</f>
        <v>696980</v>
      </c>
      <c r="AE108" s="70" t="n">
        <f aca="false">IFERROR(__xludf.dummyfunction("""COMPUTED_VALUE"""),999360)</f>
        <v>999360</v>
      </c>
      <c r="AF108" s="70" t="n">
        <f aca="false">IFERROR(__xludf.dummyfunction("""COMPUTED_VALUE"""),446)</f>
        <v>446</v>
      </c>
      <c r="AG108" s="70" t="n">
        <f aca="false">IFERROR(__xludf.dummyfunction("""COMPUTED_VALUE"""),2841701)</f>
        <v>2841701</v>
      </c>
      <c r="AH108" s="70" t="n">
        <f aca="false">IFERROR(__xludf.dummyfunction("""COMPUTED_VALUE"""),840175)</f>
        <v>840175</v>
      </c>
      <c r="AI108" s="70" t="n">
        <f aca="false">IFERROR(__xludf.dummyfunction("""COMPUTED_VALUE"""),4977711)</f>
        <v>4977711</v>
      </c>
      <c r="AJ108" s="70" t="n">
        <f aca="false">IFERROR(__xludf.dummyfunction("""COMPUTED_VALUE"""),3648475)</f>
        <v>3648475</v>
      </c>
      <c r="AK108" s="70" t="n">
        <f aca="false">IFERROR(__xludf.dummyfunction("""COMPUTED_VALUE"""),241432)</f>
        <v>241432</v>
      </c>
      <c r="AL108" s="70" t="n">
        <f aca="false">IFERROR(__xludf.dummyfunction("""COMPUTED_VALUE"""),4183470)</f>
        <v>4183470</v>
      </c>
      <c r="AM108" s="70" t="n">
        <f aca="false">IFERROR(__xludf.dummyfunction("""COMPUTED_VALUE"""),1818451)</f>
        <v>1818451</v>
      </c>
      <c r="AN108" s="70" t="n">
        <f aca="false">IFERROR(__xludf.dummyfunction("""COMPUTED_VALUE"""),1571247)</f>
        <v>1571247</v>
      </c>
      <c r="AO108" s="70" t="n">
        <f aca="false">IFERROR(__xludf.dummyfunction("""COMPUTED_VALUE"""),4259802)</f>
        <v>4259802</v>
      </c>
      <c r="AP108" s="70" t="n">
        <f aca="false">IFERROR(__xludf.dummyfunction("""COMPUTED_VALUE"""),0)</f>
        <v>0</v>
      </c>
      <c r="AQ108" s="70" t="n">
        <f aca="false">IFERROR(__xludf.dummyfunction("""COMPUTED_VALUE"""),2150651)</f>
        <v>2150651</v>
      </c>
      <c r="AR108" s="70" t="n">
        <f aca="false">IFERROR(__xludf.dummyfunction("""COMPUTED_VALUE"""),20543)</f>
        <v>20543</v>
      </c>
      <c r="AS108" s="70" t="n">
        <f aca="false">IFERROR(__xludf.dummyfunction("""COMPUTED_VALUE"""),2991774)</f>
        <v>2991774</v>
      </c>
      <c r="AT108" s="70" t="n">
        <f aca="false">IFERROR(__xludf.dummyfunction("""COMPUTED_VALUE"""),9321971)</f>
        <v>9321971</v>
      </c>
      <c r="AU108" s="70" t="n">
        <f aca="false">IFERROR(__xludf.dummyfunction("""COMPUTED_VALUE"""),1045869)</f>
        <v>1045869</v>
      </c>
      <c r="AV108" s="70" t="n">
        <f aca="false">IFERROR(__xludf.dummyfunction("""COMPUTED_VALUE"""),0)</f>
        <v>0</v>
      </c>
      <c r="AW108" s="70" t="n">
        <f aca="false">IFERROR(__xludf.dummyfunction("""COMPUTED_VALUE"""),3043218)</f>
        <v>3043218</v>
      </c>
      <c r="AX108" s="70" t="n">
        <f aca="false">IFERROR(__xludf.dummyfunction("""COMPUTED_VALUE"""),2545922)</f>
        <v>2545922</v>
      </c>
      <c r="AY108" s="70" t="n">
        <f aca="false">IFERROR(__xludf.dummyfunction("""COMPUTED_VALUE"""),976664)</f>
        <v>976664</v>
      </c>
      <c r="AZ108" s="70" t="n">
        <f aca="false">IFERROR(__xludf.dummyfunction("""COMPUTED_VALUE"""),706444)</f>
        <v>706444</v>
      </c>
      <c r="BA108" s="70" t="n">
        <f aca="false">IFERROR(__xludf.dummyfunction("""COMPUTED_VALUE"""),260899)</f>
        <v>260899</v>
      </c>
    </row>
    <row r="109" customFormat="false" ht="15.75" hidden="false" customHeight="false" outlineLevel="0" collapsed="false">
      <c r="A109" s="78" t="str">
        <f aca="false">IFERROR(__xludf.dummyfunction("""COMPUTED_VALUE"""),"total_value")</f>
        <v>total_value</v>
      </c>
      <c r="B109" s="72" t="n">
        <f aca="false">IFERROR(__xludf.dummyfunction("""COMPUTED_VALUE"""),105463997)</f>
        <v>105463997</v>
      </c>
      <c r="C109" s="73" t="n">
        <f aca="false">IFERROR(__xludf.dummyfunction("""COMPUTED_VALUE"""),2545718)</f>
        <v>2545718</v>
      </c>
      <c r="D109" s="70" t="n">
        <f aca="false">IFERROR(__xludf.dummyfunction("""COMPUTED_VALUE"""),272765)</f>
        <v>272765</v>
      </c>
      <c r="E109" s="70" t="n">
        <f aca="false">IFERROR(__xludf.dummyfunction("""COMPUTED_VALUE"""),2493764)</f>
        <v>2493764</v>
      </c>
      <c r="F109" s="70" t="n">
        <f aca="false">IFERROR(__xludf.dummyfunction("""COMPUTED_VALUE"""),1303519)</f>
        <v>1303519</v>
      </c>
      <c r="G109" s="70" t="n">
        <f aca="false">IFERROR(__xludf.dummyfunction("""COMPUTED_VALUE"""),0)</f>
        <v>0</v>
      </c>
      <c r="H109" s="70" t="n">
        <f aca="false">IFERROR(__xludf.dummyfunction("""COMPUTED_VALUE"""),2515246)</f>
        <v>2515246</v>
      </c>
      <c r="I109" s="70" t="n">
        <f aca="false">IFERROR(__xludf.dummyfunction("""COMPUTED_VALUE"""),0)</f>
        <v>0</v>
      </c>
      <c r="J109" s="70" t="n">
        <f aca="false">IFERROR(__xludf.dummyfunction("""COMPUTED_VALUE"""),261237)</f>
        <v>261237</v>
      </c>
      <c r="K109" s="70" t="n">
        <f aca="false">IFERROR(__xludf.dummyfunction("""COMPUTED_VALUE"""),179750)</f>
        <v>179750</v>
      </c>
      <c r="L109" s="70" t="n">
        <f aca="false">IFERROR(__xludf.dummyfunction("""COMPUTED_VALUE"""),8343884)</f>
        <v>8343884</v>
      </c>
      <c r="M109" s="70" t="n">
        <f aca="false">IFERROR(__xludf.dummyfunction("""COMPUTED_VALUE"""),4402797)</f>
        <v>4402797</v>
      </c>
      <c r="N109" s="70" t="n">
        <f aca="false">IFERROR(__xludf.dummyfunction("""COMPUTED_VALUE"""),666650)</f>
        <v>666650</v>
      </c>
      <c r="O109" s="70" t="n">
        <f aca="false">IFERROR(__xludf.dummyfunction("""COMPUTED_VALUE"""),801329)</f>
        <v>801329</v>
      </c>
      <c r="P109" s="70" t="n">
        <f aca="false">IFERROR(__xludf.dummyfunction("""COMPUTED_VALUE"""),4382089)</f>
        <v>4382089</v>
      </c>
      <c r="Q109" s="70" t="n">
        <f aca="false">IFERROR(__xludf.dummyfunction("""COMPUTED_VALUE"""),2423821)</f>
        <v>2423821</v>
      </c>
      <c r="R109" s="70" t="n">
        <f aca="false">IFERROR(__xludf.dummyfunction("""COMPUTED_VALUE"""),1614623)</f>
        <v>1614623</v>
      </c>
      <c r="S109" s="70" t="n">
        <f aca="false">IFERROR(__xludf.dummyfunction("""COMPUTED_VALUE"""),1104963)</f>
        <v>1104963</v>
      </c>
      <c r="T109" s="70" t="n">
        <f aca="false">IFERROR(__xludf.dummyfunction("""COMPUTED_VALUE"""),1995292)</f>
        <v>1995292</v>
      </c>
      <c r="U109" s="70" t="n">
        <f aca="false">IFERROR(__xludf.dummyfunction("""COMPUTED_VALUE"""),1632665)</f>
        <v>1632665</v>
      </c>
      <c r="V109" s="70" t="n">
        <f aca="false">IFERROR(__xludf.dummyfunction("""COMPUTED_VALUE"""),0)</f>
        <v>0</v>
      </c>
      <c r="W109" s="70" t="n">
        <f aca="false">IFERROR(__xludf.dummyfunction("""COMPUTED_VALUE"""),2206415)</f>
        <v>2206415</v>
      </c>
      <c r="X109" s="70" t="n">
        <f aca="false">IFERROR(__xludf.dummyfunction("""COMPUTED_VALUE"""),0)</f>
        <v>0</v>
      </c>
      <c r="Y109" s="70" t="n">
        <f aca="false">IFERROR(__xludf.dummyfunction("""COMPUTED_VALUE"""),4043262)</f>
        <v>4043262</v>
      </c>
      <c r="Z109" s="70" t="n">
        <f aca="false">IFERROR(__xludf.dummyfunction("""COMPUTED_VALUE"""),2343898)</f>
        <v>2343898</v>
      </c>
      <c r="AA109" s="70" t="n">
        <f aca="false">IFERROR(__xludf.dummyfunction("""COMPUTED_VALUE"""),1511397)</f>
        <v>1511397</v>
      </c>
      <c r="AB109" s="70" t="n">
        <f aca="false">IFERROR(__xludf.dummyfunction("""COMPUTED_VALUE"""),2707191)</f>
        <v>2707191</v>
      </c>
      <c r="AC109" s="70" t="n">
        <f aca="false">IFERROR(__xludf.dummyfunction("""COMPUTED_VALUE"""),478220)</f>
        <v>478220</v>
      </c>
      <c r="AD109" s="70" t="n">
        <f aca="false">IFERROR(__xludf.dummyfunction("""COMPUTED_VALUE"""),755339)</f>
        <v>755339</v>
      </c>
      <c r="AE109" s="70" t="n">
        <f aca="false">IFERROR(__xludf.dummyfunction("""COMPUTED_VALUE"""),1008837)</f>
        <v>1008837</v>
      </c>
      <c r="AF109" s="70" t="n">
        <f aca="false">IFERROR(__xludf.dummyfunction("""COMPUTED_VALUE"""),962)</f>
        <v>962</v>
      </c>
      <c r="AG109" s="70" t="n">
        <f aca="false">IFERROR(__xludf.dummyfunction("""COMPUTED_VALUE"""),2875576)</f>
        <v>2875576</v>
      </c>
      <c r="AH109" s="70" t="n">
        <f aca="false">IFERROR(__xludf.dummyfunction("""COMPUTED_VALUE"""),1043424)</f>
        <v>1043424</v>
      </c>
      <c r="AI109" s="70" t="n">
        <f aca="false">IFERROR(__xludf.dummyfunction("""COMPUTED_VALUE"""),5659441)</f>
        <v>5659441</v>
      </c>
      <c r="AJ109" s="70" t="n">
        <f aca="false">IFERROR(__xludf.dummyfunction("""COMPUTED_VALUE"""),4246167)</f>
        <v>4246167</v>
      </c>
      <c r="AK109" s="70" t="n">
        <f aca="false">IFERROR(__xludf.dummyfunction("""COMPUTED_VALUE"""),278101)</f>
        <v>278101</v>
      </c>
      <c r="AL109" s="70" t="n">
        <f aca="false">IFERROR(__xludf.dummyfunction("""COMPUTED_VALUE"""),4353820)</f>
        <v>4353820</v>
      </c>
      <c r="AM109" s="70" t="n">
        <f aca="false">IFERROR(__xludf.dummyfunction("""COMPUTED_VALUE"""),2138465)</f>
        <v>2138465</v>
      </c>
      <c r="AN109" s="70" t="n">
        <f aca="false">IFERROR(__xludf.dummyfunction("""COMPUTED_VALUE"""),1633522)</f>
        <v>1633522</v>
      </c>
      <c r="AO109" s="70" t="n">
        <f aca="false">IFERROR(__xludf.dummyfunction("""COMPUTED_VALUE"""),4743741)</f>
        <v>4743741</v>
      </c>
      <c r="AP109" s="70" t="n">
        <f aca="false">IFERROR(__xludf.dummyfunction("""COMPUTED_VALUE"""),0)</f>
        <v>0</v>
      </c>
      <c r="AQ109" s="70" t="n">
        <f aca="false">IFERROR(__xludf.dummyfunction("""COMPUTED_VALUE"""),2518556)</f>
        <v>2518556</v>
      </c>
      <c r="AR109" s="70" t="n">
        <f aca="false">IFERROR(__xludf.dummyfunction("""COMPUTED_VALUE"""),30997)</f>
        <v>30997</v>
      </c>
      <c r="AS109" s="70" t="n">
        <f aca="false">IFERROR(__xludf.dummyfunction("""COMPUTED_VALUE"""),3426708)</f>
        <v>3426708</v>
      </c>
      <c r="AT109" s="70" t="n">
        <f aca="false">IFERROR(__xludf.dummyfunction("""COMPUTED_VALUE"""),9800230)</f>
        <v>9800230</v>
      </c>
      <c r="AU109" s="70" t="n">
        <f aca="false">IFERROR(__xludf.dummyfunction("""COMPUTED_VALUE"""),1133857)</f>
        <v>1133857</v>
      </c>
      <c r="AV109" s="70" t="n">
        <f aca="false">IFERROR(__xludf.dummyfunction("""COMPUTED_VALUE"""),0)</f>
        <v>0</v>
      </c>
      <c r="AW109" s="70" t="n">
        <f aca="false">IFERROR(__xludf.dummyfunction("""COMPUTED_VALUE"""),3476818)</f>
        <v>3476818</v>
      </c>
      <c r="AX109" s="70" t="n">
        <f aca="false">IFERROR(__xludf.dummyfunction("""COMPUTED_VALUE"""),2642288)</f>
        <v>2642288</v>
      </c>
      <c r="AY109" s="70" t="n">
        <f aca="false">IFERROR(__xludf.dummyfunction("""COMPUTED_VALUE"""),1027392)</f>
        <v>1027392</v>
      </c>
      <c r="AZ109" s="70" t="n">
        <f aca="false">IFERROR(__xludf.dummyfunction("""COMPUTED_VALUE"""),2171566)</f>
        <v>2171566</v>
      </c>
      <c r="BA109" s="70" t="n">
        <f aca="false">IFERROR(__xludf.dummyfunction("""COMPUTED_VALUE"""),267695)</f>
        <v>267695</v>
      </c>
    </row>
    <row r="110" customFormat="false" ht="15.75" hidden="false" customHeight="false" outlineLevel="0" collapsed="false">
      <c r="B110" s="59"/>
      <c r="C110" s="79"/>
      <c r="D110" s="80"/>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row>
    <row r="111" customFormat="false" ht="15.75" hidden="false" customHeight="false" outlineLevel="0" collapsed="false">
      <c r="A111" s="74" t="s">
        <v>1818</v>
      </c>
      <c r="B111" s="63"/>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row>
    <row r="112" customFormat="false" ht="15.75" hidden="false" customHeight="false" outlineLevel="0" collapsed="false">
      <c r="A112" s="75" t="str">
        <f aca="false">IFERROR(__xludf.dummyfunction("TRANSPOSE(IMPORTRANGE(""https://docs.google.com/spreadsheets/d/1sNrf4xlwHQ-LujHTd1_nLHq6duGtTzjk33k9jntfg4c"", ""'Valuations'!F4:J56""))"),"value")</f>
        <v>value</v>
      </c>
      <c r="B112" s="56" t="n">
        <f aca="false">IFERROR(__xludf.dummyfunction("""COMPUTED_VALUE"""),106831852)</f>
        <v>106831852</v>
      </c>
      <c r="C112" s="76" t="n">
        <f aca="false">IFERROR(__xludf.dummyfunction("""COMPUTED_VALUE"""),1964714)</f>
        <v>1964714</v>
      </c>
      <c r="D112" s="77" t="n">
        <f aca="false">IFERROR(__xludf.dummyfunction("""COMPUTED_VALUE"""),266234)</f>
        <v>266234</v>
      </c>
      <c r="E112" s="77" t="n">
        <f aca="false">IFERROR(__xludf.dummyfunction("""COMPUTED_VALUE"""),2372337)</f>
        <v>2372337</v>
      </c>
      <c r="F112" s="77" t="n">
        <f aca="false">IFERROR(__xludf.dummyfunction("""COMPUTED_VALUE"""),1001799)</f>
        <v>1001799</v>
      </c>
      <c r="G112" s="77" t="n">
        <f aca="false">IFERROR(__xludf.dummyfunction("""COMPUTED_VALUE"""),9839862)</f>
        <v>9839862</v>
      </c>
      <c r="H112" s="77" t="n">
        <f aca="false">IFERROR(__xludf.dummyfunction("""COMPUTED_VALUE"""),1975106)</f>
        <v>1975106</v>
      </c>
      <c r="I112" s="77" t="n">
        <f aca="false">IFERROR(__xludf.dummyfunction("""COMPUTED_VALUE"""),1160206)</f>
        <v>1160206</v>
      </c>
      <c r="J112" s="77" t="n">
        <f aca="false">IFERROR(__xludf.dummyfunction("""COMPUTED_VALUE"""),380317)</f>
        <v>380317</v>
      </c>
      <c r="K112" s="77" t="n">
        <f aca="false">IFERROR(__xludf.dummyfunction("""COMPUTED_VALUE"""),178412)</f>
        <v>178412</v>
      </c>
      <c r="L112" s="77" t="n">
        <f aca="false">IFERROR(__xludf.dummyfunction("""COMPUTED_VALUE"""),7927399)</f>
        <v>7927399</v>
      </c>
      <c r="M112" s="77" t="n">
        <f aca="false">IFERROR(__xludf.dummyfunction("""COMPUTED_VALUE"""),3767883)</f>
        <v>3767883</v>
      </c>
      <c r="N112" s="77" t="n">
        <f aca="false">IFERROR(__xludf.dummyfunction("""COMPUTED_VALUE"""),610180)</f>
        <v>610180</v>
      </c>
      <c r="O112" s="77" t="n">
        <f aca="false">IFERROR(__xludf.dummyfunction("""COMPUTED_VALUE"""),666706)</f>
        <v>666706</v>
      </c>
      <c r="P112" s="77" t="n">
        <f aca="false">IFERROR(__xludf.dummyfunction("""COMPUTED_VALUE"""),3898589)</f>
        <v>3898589</v>
      </c>
      <c r="Q112" s="77" t="n">
        <f aca="false">IFERROR(__xludf.dummyfunction("""COMPUTED_VALUE"""),2167883)</f>
        <v>2167883</v>
      </c>
      <c r="R112" s="77" t="n">
        <f aca="false">IFERROR(__xludf.dummyfunction("""COMPUTED_VALUE"""),1146570)</f>
        <v>1146570</v>
      </c>
      <c r="S112" s="77" t="n">
        <f aca="false">IFERROR(__xludf.dummyfunction("""COMPUTED_VALUE"""),897054)</f>
        <v>897054</v>
      </c>
      <c r="T112" s="77" t="n">
        <f aca="false">IFERROR(__xludf.dummyfunction("""COMPUTED_VALUE"""),1552165)</f>
        <v>1552165</v>
      </c>
      <c r="U112" s="77" t="n">
        <f aca="false">IFERROR(__xludf.dummyfunction("""COMPUTED_VALUE"""),1539087)</f>
        <v>1539087</v>
      </c>
      <c r="V112" s="77" t="n">
        <f aca="false">IFERROR(__xludf.dummyfunction("""COMPUTED_VALUE"""),578945)</f>
        <v>578945</v>
      </c>
      <c r="W112" s="77" t="n">
        <f aca="false">IFERROR(__xludf.dummyfunction("""COMPUTED_VALUE"""),2088451)</f>
        <v>2088451</v>
      </c>
      <c r="X112" s="77" t="n">
        <f aca="false">IFERROR(__xludf.dummyfunction("""COMPUTED_VALUE"""),2163495)</f>
        <v>2163495</v>
      </c>
      <c r="Y112" s="77" t="n">
        <f aca="false">IFERROR(__xludf.dummyfunction("""COMPUTED_VALUE"""),3577788)</f>
        <v>3577788</v>
      </c>
      <c r="Z112" s="77" t="n">
        <f aca="false">IFERROR(__xludf.dummyfunction("""COMPUTED_VALUE"""),1890623)</f>
        <v>1890623</v>
      </c>
      <c r="AA112" s="77" t="n">
        <f aca="false">IFERROR(__xludf.dummyfunction("""COMPUTED_VALUE"""),1146265)</f>
        <v>1146265</v>
      </c>
      <c r="AB112" s="77" t="n">
        <f aca="false">IFERROR(__xludf.dummyfunction("""COMPUTED_VALUE"""),2109810)</f>
        <v>2109810</v>
      </c>
      <c r="AC112" s="77" t="n">
        <f aca="false">IFERROR(__xludf.dummyfunction("""COMPUTED_VALUE"""),353595)</f>
        <v>353595</v>
      </c>
      <c r="AD112" s="77" t="n">
        <f aca="false">IFERROR(__xludf.dummyfunction("""COMPUTED_VALUE"""),615495)</f>
        <v>615495</v>
      </c>
      <c r="AE112" s="77" t="n">
        <f aca="false">IFERROR(__xludf.dummyfunction("""COMPUTED_VALUE"""),968698)</f>
        <v>968698</v>
      </c>
      <c r="AF112" s="77" t="n">
        <f aca="false">IFERROR(__xludf.dummyfunction("""COMPUTED_VALUE"""),535976)</f>
        <v>535976</v>
      </c>
      <c r="AG112" s="77" t="n">
        <f aca="false">IFERROR(__xludf.dummyfunction("""COMPUTED_VALUE"""),2804614)</f>
        <v>2804614</v>
      </c>
      <c r="AH112" s="77" t="n">
        <f aca="false">IFERROR(__xludf.dummyfunction("""COMPUTED_VALUE"""),818784)</f>
        <v>818784</v>
      </c>
      <c r="AI112" s="77" t="n">
        <f aca="false">IFERROR(__xludf.dummyfunction("""COMPUTED_VALUE"""),4723467)</f>
        <v>4723467</v>
      </c>
      <c r="AJ112" s="77" t="n">
        <f aca="false">IFERROR(__xludf.dummyfunction("""COMPUTED_VALUE"""),3944999)</f>
        <v>3944999</v>
      </c>
      <c r="AK112" s="77" t="n">
        <f aca="false">IFERROR(__xludf.dummyfunction("""COMPUTED_VALUE"""),207807)</f>
        <v>207807</v>
      </c>
      <c r="AL112" s="77" t="n">
        <f aca="false">IFERROR(__xludf.dummyfunction("""COMPUTED_VALUE"""),3986934)</f>
        <v>3986934</v>
      </c>
      <c r="AM112" s="77" t="n">
        <f aca="false">IFERROR(__xludf.dummyfunction("""COMPUTED_VALUE"""),1465511)</f>
        <v>1465511</v>
      </c>
      <c r="AN112" s="77" t="n">
        <f aca="false">IFERROR(__xludf.dummyfunction("""COMPUTED_VALUE"""),1473093)</f>
        <v>1473093</v>
      </c>
      <c r="AO112" s="77" t="n">
        <f aca="false">IFERROR(__xludf.dummyfunction("""COMPUTED_VALUE"""),4473089)</f>
        <v>4473089</v>
      </c>
      <c r="AP112" s="77" t="n">
        <f aca="false">IFERROR(__xludf.dummyfunction("""COMPUTED_VALUE"""),356414)</f>
        <v>356414</v>
      </c>
      <c r="AQ112" s="77" t="n">
        <f aca="false">IFERROR(__xludf.dummyfunction("""COMPUTED_VALUE"""),1982790)</f>
        <v>1982790</v>
      </c>
      <c r="AR112" s="77" t="n">
        <f aca="false">IFERROR(__xludf.dummyfunction("""COMPUTED_VALUE"""),232215)</f>
        <v>232215</v>
      </c>
      <c r="AS112" s="77" t="n">
        <f aca="false">IFERROR(__xludf.dummyfunction("""COMPUTED_VALUE"""),2849567)</f>
        <v>2849567</v>
      </c>
      <c r="AT112" s="77" t="n">
        <f aca="false">IFERROR(__xludf.dummyfunction("""COMPUTED_VALUE"""),8480146)</f>
        <v>8480146</v>
      </c>
      <c r="AU112" s="77" t="n">
        <f aca="false">IFERROR(__xludf.dummyfunction("""COMPUTED_VALUE"""),904222)</f>
        <v>904222</v>
      </c>
      <c r="AV112" s="77" t="n">
        <f aca="false">IFERROR(__xludf.dummyfunction("""COMPUTED_VALUE"""),274886)</f>
        <v>274886</v>
      </c>
      <c r="AW112" s="77" t="n">
        <f aca="false">IFERROR(__xludf.dummyfunction("""COMPUTED_VALUE"""),3050900)</f>
        <v>3050900</v>
      </c>
      <c r="AX112" s="77" t="n">
        <f aca="false">IFERROR(__xludf.dummyfunction("""COMPUTED_VALUE"""),2437024)</f>
        <v>2437024</v>
      </c>
      <c r="AY112" s="77" t="n">
        <f aca="false">IFERROR(__xludf.dummyfunction("""COMPUTED_VALUE"""),756935)</f>
        <v>756935</v>
      </c>
      <c r="AZ112" s="77" t="n">
        <f aca="false">IFERROR(__xludf.dummyfunction("""COMPUTED_VALUE"""),2063723)</f>
        <v>2063723</v>
      </c>
      <c r="BA112" s="77" t="n">
        <f aca="false">IFERROR(__xludf.dummyfunction("""COMPUTED_VALUE"""),203088)</f>
        <v>203088</v>
      </c>
    </row>
    <row r="113" customFormat="false" ht="15.75" hidden="false" customHeight="false" outlineLevel="0" collapsed="false">
      <c r="A113" s="78" t="str">
        <f aca="false">IFERROR(__xludf.dummyfunction("""COMPUTED_VALUE"""),"low")</f>
        <v>low</v>
      </c>
      <c r="B113" s="72" t="n">
        <f aca="false">IFERROR(__xludf.dummyfunction("""COMPUTED_VALUE"""),106593829)</f>
        <v>106593829</v>
      </c>
      <c r="C113" s="73" t="n">
        <f aca="false">IFERROR(__xludf.dummyfunction("""COMPUTED_VALUE"""),1961675)</f>
        <v>1961675</v>
      </c>
      <c r="D113" s="70" t="n">
        <f aca="false">IFERROR(__xludf.dummyfunction("""COMPUTED_VALUE"""),266044)</f>
        <v>266044</v>
      </c>
      <c r="E113" s="70" t="n">
        <f aca="false">IFERROR(__xludf.dummyfunction("""COMPUTED_VALUE"""),2367809)</f>
        <v>2367809</v>
      </c>
      <c r="F113" s="70" t="n">
        <f aca="false">IFERROR(__xludf.dummyfunction("""COMPUTED_VALUE"""),1000945)</f>
        <v>1000945</v>
      </c>
      <c r="G113" s="70" t="n">
        <f aca="false">IFERROR(__xludf.dummyfunction("""COMPUTED_VALUE"""),9824361)</f>
        <v>9824361</v>
      </c>
      <c r="H113" s="70" t="n">
        <f aca="false">IFERROR(__xludf.dummyfunction("""COMPUTED_VALUE"""),1965675)</f>
        <v>1965675</v>
      </c>
      <c r="I113" s="70" t="n">
        <f aca="false">IFERROR(__xludf.dummyfunction("""COMPUTED_VALUE"""),1159364)</f>
        <v>1159364</v>
      </c>
      <c r="J113" s="70" t="n">
        <f aca="false">IFERROR(__xludf.dummyfunction("""COMPUTED_VALUE"""),380003)</f>
        <v>380003</v>
      </c>
      <c r="K113" s="70" t="n">
        <f aca="false">IFERROR(__xludf.dummyfunction("""COMPUTED_VALUE"""),177863)</f>
        <v>177863</v>
      </c>
      <c r="L113" s="70" t="n">
        <f aca="false">IFERROR(__xludf.dummyfunction("""COMPUTED_VALUE"""),7907719)</f>
        <v>7907719</v>
      </c>
      <c r="M113" s="70" t="n">
        <f aca="false">IFERROR(__xludf.dummyfunction("""COMPUTED_VALUE"""),3752600)</f>
        <v>3752600</v>
      </c>
      <c r="N113" s="70" t="n">
        <f aca="false">IFERROR(__xludf.dummyfunction("""COMPUTED_VALUE"""),597870)</f>
        <v>597870</v>
      </c>
      <c r="O113" s="70" t="n">
        <f aca="false">IFERROR(__xludf.dummyfunction("""COMPUTED_VALUE"""),665628)</f>
        <v>665628</v>
      </c>
      <c r="P113" s="70" t="n">
        <f aca="false">IFERROR(__xludf.dummyfunction("""COMPUTED_VALUE"""),3890398)</f>
        <v>3890398</v>
      </c>
      <c r="Q113" s="70" t="n">
        <f aca="false">IFERROR(__xludf.dummyfunction("""COMPUTED_VALUE"""),2167606)</f>
        <v>2167606</v>
      </c>
      <c r="R113" s="70" t="n">
        <f aca="false">IFERROR(__xludf.dummyfunction("""COMPUTED_VALUE"""),1145384)</f>
        <v>1145384</v>
      </c>
      <c r="S113" s="70" t="n">
        <f aca="false">IFERROR(__xludf.dummyfunction("""COMPUTED_VALUE"""),896395)</f>
        <v>896395</v>
      </c>
      <c r="T113" s="70" t="n">
        <f aca="false">IFERROR(__xludf.dummyfunction("""COMPUTED_VALUE"""),1551263)</f>
        <v>1551263</v>
      </c>
      <c r="U113" s="70" t="n">
        <f aca="false">IFERROR(__xludf.dummyfunction("""COMPUTED_VALUE"""),1538282)</f>
        <v>1538282</v>
      </c>
      <c r="V113" s="70" t="n">
        <f aca="false">IFERROR(__xludf.dummyfunction("""COMPUTED_VALUE"""),578717)</f>
        <v>578717</v>
      </c>
      <c r="W113" s="70" t="n">
        <f aca="false">IFERROR(__xludf.dummyfunction("""COMPUTED_VALUE"""),2081546)</f>
        <v>2081546</v>
      </c>
      <c r="X113" s="70" t="n">
        <f aca="false">IFERROR(__xludf.dummyfunction("""COMPUTED_VALUE"""),2152232)</f>
        <v>2152232</v>
      </c>
      <c r="Y113" s="70" t="n">
        <f aca="false">IFERROR(__xludf.dummyfunction("""COMPUTED_VALUE"""),3572913)</f>
        <v>3572913</v>
      </c>
      <c r="Z113" s="70" t="n">
        <f aca="false">IFERROR(__xludf.dummyfunction("""COMPUTED_VALUE"""),1886802)</f>
        <v>1886802</v>
      </c>
      <c r="AA113" s="70" t="n">
        <f aca="false">IFERROR(__xludf.dummyfunction("""COMPUTED_VALUE"""),1146106)</f>
        <v>1146106</v>
      </c>
      <c r="AB113" s="70" t="n">
        <f aca="false">IFERROR(__xludf.dummyfunction("""COMPUTED_VALUE"""),2108122)</f>
        <v>2108122</v>
      </c>
      <c r="AC113" s="70" t="n">
        <f aca="false">IFERROR(__xludf.dummyfunction("""COMPUTED_VALUE"""),353304)</f>
        <v>353304</v>
      </c>
      <c r="AD113" s="70" t="n">
        <f aca="false">IFERROR(__xludf.dummyfunction("""COMPUTED_VALUE"""),614889)</f>
        <v>614889</v>
      </c>
      <c r="AE113" s="70" t="n">
        <f aca="false">IFERROR(__xludf.dummyfunction("""COMPUTED_VALUE"""),967470)</f>
        <v>967470</v>
      </c>
      <c r="AF113" s="70" t="n">
        <f aca="false">IFERROR(__xludf.dummyfunction("""COMPUTED_VALUE"""),535577)</f>
        <v>535577</v>
      </c>
      <c r="AG113" s="70" t="n">
        <f aca="false">IFERROR(__xludf.dummyfunction("""COMPUTED_VALUE"""),2797323)</f>
        <v>2797323</v>
      </c>
      <c r="AH113" s="70" t="n">
        <f aca="false">IFERROR(__xludf.dummyfunction("""COMPUTED_VALUE"""),818198)</f>
        <v>818198</v>
      </c>
      <c r="AI113" s="70" t="n">
        <f aca="false">IFERROR(__xludf.dummyfunction("""COMPUTED_VALUE"""),4682725)</f>
        <v>4682725</v>
      </c>
      <c r="AJ113" s="70" t="n">
        <f aca="false">IFERROR(__xludf.dummyfunction("""COMPUTED_VALUE"""),3934186)</f>
        <v>3934186</v>
      </c>
      <c r="AK113" s="70" t="n">
        <f aca="false">IFERROR(__xludf.dummyfunction("""COMPUTED_VALUE"""),207697)</f>
        <v>207697</v>
      </c>
      <c r="AL113" s="70" t="n">
        <f aca="false">IFERROR(__xludf.dummyfunction("""COMPUTED_VALUE"""),3983542)</f>
        <v>3983542</v>
      </c>
      <c r="AM113" s="70" t="n">
        <f aca="false">IFERROR(__xludf.dummyfunction("""COMPUTED_VALUE"""),1463069)</f>
        <v>1463069</v>
      </c>
      <c r="AN113" s="70" t="n">
        <f aca="false">IFERROR(__xludf.dummyfunction("""COMPUTED_VALUE"""),1469034)</f>
        <v>1469034</v>
      </c>
      <c r="AO113" s="70" t="n">
        <f aca="false">IFERROR(__xludf.dummyfunction("""COMPUTED_VALUE"""),4469045)</f>
        <v>4469045</v>
      </c>
      <c r="AP113" s="70" t="n">
        <f aca="false">IFERROR(__xludf.dummyfunction("""COMPUTED_VALUE"""),356119)</f>
        <v>356119</v>
      </c>
      <c r="AQ113" s="70" t="n">
        <f aca="false">IFERROR(__xludf.dummyfunction("""COMPUTED_VALUE"""),1979488)</f>
        <v>1979488</v>
      </c>
      <c r="AR113" s="70" t="n">
        <f aca="false">IFERROR(__xludf.dummyfunction("""COMPUTED_VALUE"""),232110)</f>
        <v>232110</v>
      </c>
      <c r="AS113" s="70" t="n">
        <f aca="false">IFERROR(__xludf.dummyfunction("""COMPUTED_VALUE"""),2842720)</f>
        <v>2842720</v>
      </c>
      <c r="AT113" s="70" t="n">
        <f aca="false">IFERROR(__xludf.dummyfunction("""COMPUTED_VALUE"""),8474704)</f>
        <v>8474704</v>
      </c>
      <c r="AU113" s="70" t="n">
        <f aca="false">IFERROR(__xludf.dummyfunction("""COMPUTED_VALUE"""),903052)</f>
        <v>903052</v>
      </c>
      <c r="AV113" s="70" t="n">
        <f aca="false">IFERROR(__xludf.dummyfunction("""COMPUTED_VALUE"""),274708)</f>
        <v>274708</v>
      </c>
      <c r="AW113" s="70" t="n">
        <f aca="false">IFERROR(__xludf.dummyfunction("""COMPUTED_VALUE"""),3037294)</f>
        <v>3037294</v>
      </c>
      <c r="AX113" s="70" t="n">
        <f aca="false">IFERROR(__xludf.dummyfunction("""COMPUTED_VALUE"""),2433101)</f>
        <v>2433101</v>
      </c>
      <c r="AY113" s="70" t="n">
        <f aca="false">IFERROR(__xludf.dummyfunction("""COMPUTED_VALUE"""),756792)</f>
        <v>756792</v>
      </c>
      <c r="AZ113" s="70" t="n">
        <f aca="false">IFERROR(__xludf.dummyfunction("""COMPUTED_VALUE"""),2061531)</f>
        <v>2061531</v>
      </c>
      <c r="BA113" s="70" t="n">
        <f aca="false">IFERROR(__xludf.dummyfunction("""COMPUTED_VALUE"""),202829)</f>
        <v>202829</v>
      </c>
    </row>
    <row r="114" customFormat="false" ht="15.75" hidden="false" customHeight="false" outlineLevel="0" collapsed="false">
      <c r="A114" s="78" t="str">
        <f aca="false">IFERROR(__xludf.dummyfunction("""COMPUTED_VALUE"""),"high")</f>
        <v>high</v>
      </c>
      <c r="B114" s="72" t="n">
        <f aca="false">IFERROR(__xludf.dummyfunction("""COMPUTED_VALUE"""),106593829)</f>
        <v>106593829</v>
      </c>
      <c r="C114" s="73" t="n">
        <f aca="false">IFERROR(__xludf.dummyfunction("""COMPUTED_VALUE"""),1961675)</f>
        <v>1961675</v>
      </c>
      <c r="D114" s="70" t="n">
        <f aca="false">IFERROR(__xludf.dummyfunction("""COMPUTED_VALUE"""),266044)</f>
        <v>266044</v>
      </c>
      <c r="E114" s="70" t="n">
        <f aca="false">IFERROR(__xludf.dummyfunction("""COMPUTED_VALUE"""),2367809)</f>
        <v>2367809</v>
      </c>
      <c r="F114" s="70" t="n">
        <f aca="false">IFERROR(__xludf.dummyfunction("""COMPUTED_VALUE"""),1000945)</f>
        <v>1000945</v>
      </c>
      <c r="G114" s="70" t="n">
        <f aca="false">IFERROR(__xludf.dummyfunction("""COMPUTED_VALUE"""),9824361)</f>
        <v>9824361</v>
      </c>
      <c r="H114" s="70" t="n">
        <f aca="false">IFERROR(__xludf.dummyfunction("""COMPUTED_VALUE"""),1965675)</f>
        <v>1965675</v>
      </c>
      <c r="I114" s="70" t="n">
        <f aca="false">IFERROR(__xludf.dummyfunction("""COMPUTED_VALUE"""),1159364)</f>
        <v>1159364</v>
      </c>
      <c r="J114" s="70" t="n">
        <f aca="false">IFERROR(__xludf.dummyfunction("""COMPUTED_VALUE"""),380003)</f>
        <v>380003</v>
      </c>
      <c r="K114" s="70" t="n">
        <f aca="false">IFERROR(__xludf.dummyfunction("""COMPUTED_VALUE"""),177863)</f>
        <v>177863</v>
      </c>
      <c r="L114" s="70" t="n">
        <f aca="false">IFERROR(__xludf.dummyfunction("""COMPUTED_VALUE"""),7907719)</f>
        <v>7907719</v>
      </c>
      <c r="M114" s="70" t="n">
        <f aca="false">IFERROR(__xludf.dummyfunction("""COMPUTED_VALUE"""),3752600)</f>
        <v>3752600</v>
      </c>
      <c r="N114" s="70" t="n">
        <f aca="false">IFERROR(__xludf.dummyfunction("""COMPUTED_VALUE"""),597870)</f>
        <v>597870</v>
      </c>
      <c r="O114" s="70" t="n">
        <f aca="false">IFERROR(__xludf.dummyfunction("""COMPUTED_VALUE"""),665628)</f>
        <v>665628</v>
      </c>
      <c r="P114" s="70" t="n">
        <f aca="false">IFERROR(__xludf.dummyfunction("""COMPUTED_VALUE"""),3890398)</f>
        <v>3890398</v>
      </c>
      <c r="Q114" s="70" t="n">
        <f aca="false">IFERROR(__xludf.dummyfunction("""COMPUTED_VALUE"""),2167606)</f>
        <v>2167606</v>
      </c>
      <c r="R114" s="70" t="n">
        <f aca="false">IFERROR(__xludf.dummyfunction("""COMPUTED_VALUE"""),1145384)</f>
        <v>1145384</v>
      </c>
      <c r="S114" s="70" t="n">
        <f aca="false">IFERROR(__xludf.dummyfunction("""COMPUTED_VALUE"""),896395)</f>
        <v>896395</v>
      </c>
      <c r="T114" s="70" t="n">
        <f aca="false">IFERROR(__xludf.dummyfunction("""COMPUTED_VALUE"""),1551263)</f>
        <v>1551263</v>
      </c>
      <c r="U114" s="70" t="n">
        <f aca="false">IFERROR(__xludf.dummyfunction("""COMPUTED_VALUE"""),1538282)</f>
        <v>1538282</v>
      </c>
      <c r="V114" s="70" t="n">
        <f aca="false">IFERROR(__xludf.dummyfunction("""COMPUTED_VALUE"""),578717)</f>
        <v>578717</v>
      </c>
      <c r="W114" s="70" t="n">
        <f aca="false">IFERROR(__xludf.dummyfunction("""COMPUTED_VALUE"""),2081546)</f>
        <v>2081546</v>
      </c>
      <c r="X114" s="70" t="n">
        <f aca="false">IFERROR(__xludf.dummyfunction("""COMPUTED_VALUE"""),2152232)</f>
        <v>2152232</v>
      </c>
      <c r="Y114" s="70" t="n">
        <f aca="false">IFERROR(__xludf.dummyfunction("""COMPUTED_VALUE"""),3572913)</f>
        <v>3572913</v>
      </c>
      <c r="Z114" s="70" t="n">
        <f aca="false">IFERROR(__xludf.dummyfunction("""COMPUTED_VALUE"""),1886802)</f>
        <v>1886802</v>
      </c>
      <c r="AA114" s="70" t="n">
        <f aca="false">IFERROR(__xludf.dummyfunction("""COMPUTED_VALUE"""),1146106)</f>
        <v>1146106</v>
      </c>
      <c r="AB114" s="70" t="n">
        <f aca="false">IFERROR(__xludf.dummyfunction("""COMPUTED_VALUE"""),2108122)</f>
        <v>2108122</v>
      </c>
      <c r="AC114" s="70" t="n">
        <f aca="false">IFERROR(__xludf.dummyfunction("""COMPUTED_VALUE"""),353304)</f>
        <v>353304</v>
      </c>
      <c r="AD114" s="70" t="n">
        <f aca="false">IFERROR(__xludf.dummyfunction("""COMPUTED_VALUE"""),614889)</f>
        <v>614889</v>
      </c>
      <c r="AE114" s="70" t="n">
        <f aca="false">IFERROR(__xludf.dummyfunction("""COMPUTED_VALUE"""),967470)</f>
        <v>967470</v>
      </c>
      <c r="AF114" s="70" t="n">
        <f aca="false">IFERROR(__xludf.dummyfunction("""COMPUTED_VALUE"""),535577)</f>
        <v>535577</v>
      </c>
      <c r="AG114" s="70" t="n">
        <f aca="false">IFERROR(__xludf.dummyfunction("""COMPUTED_VALUE"""),2797323)</f>
        <v>2797323</v>
      </c>
      <c r="AH114" s="70" t="n">
        <f aca="false">IFERROR(__xludf.dummyfunction("""COMPUTED_VALUE"""),818198)</f>
        <v>818198</v>
      </c>
      <c r="AI114" s="70" t="n">
        <f aca="false">IFERROR(__xludf.dummyfunction("""COMPUTED_VALUE"""),4682725)</f>
        <v>4682725</v>
      </c>
      <c r="AJ114" s="70" t="n">
        <f aca="false">IFERROR(__xludf.dummyfunction("""COMPUTED_VALUE"""),3934186)</f>
        <v>3934186</v>
      </c>
      <c r="AK114" s="70" t="n">
        <f aca="false">IFERROR(__xludf.dummyfunction("""COMPUTED_VALUE"""),207697)</f>
        <v>207697</v>
      </c>
      <c r="AL114" s="70" t="n">
        <f aca="false">IFERROR(__xludf.dummyfunction("""COMPUTED_VALUE"""),3983542)</f>
        <v>3983542</v>
      </c>
      <c r="AM114" s="70" t="n">
        <f aca="false">IFERROR(__xludf.dummyfunction("""COMPUTED_VALUE"""),1463069)</f>
        <v>1463069</v>
      </c>
      <c r="AN114" s="70" t="n">
        <f aca="false">IFERROR(__xludf.dummyfunction("""COMPUTED_VALUE"""),1469034)</f>
        <v>1469034</v>
      </c>
      <c r="AO114" s="70" t="n">
        <f aca="false">IFERROR(__xludf.dummyfunction("""COMPUTED_VALUE"""),4469045)</f>
        <v>4469045</v>
      </c>
      <c r="AP114" s="70" t="n">
        <f aca="false">IFERROR(__xludf.dummyfunction("""COMPUTED_VALUE"""),356119)</f>
        <v>356119</v>
      </c>
      <c r="AQ114" s="70" t="n">
        <f aca="false">IFERROR(__xludf.dummyfunction("""COMPUTED_VALUE"""),1979488)</f>
        <v>1979488</v>
      </c>
      <c r="AR114" s="70" t="n">
        <f aca="false">IFERROR(__xludf.dummyfunction("""COMPUTED_VALUE"""),232110)</f>
        <v>232110</v>
      </c>
      <c r="AS114" s="70" t="n">
        <f aca="false">IFERROR(__xludf.dummyfunction("""COMPUTED_VALUE"""),2842720)</f>
        <v>2842720</v>
      </c>
      <c r="AT114" s="70" t="n">
        <f aca="false">IFERROR(__xludf.dummyfunction("""COMPUTED_VALUE"""),8474704)</f>
        <v>8474704</v>
      </c>
      <c r="AU114" s="70" t="n">
        <f aca="false">IFERROR(__xludf.dummyfunction("""COMPUTED_VALUE"""),903052)</f>
        <v>903052</v>
      </c>
      <c r="AV114" s="70" t="n">
        <f aca="false">IFERROR(__xludf.dummyfunction("""COMPUTED_VALUE"""),274708)</f>
        <v>274708</v>
      </c>
      <c r="AW114" s="70" t="n">
        <f aca="false">IFERROR(__xludf.dummyfunction("""COMPUTED_VALUE"""),3037294)</f>
        <v>3037294</v>
      </c>
      <c r="AX114" s="70" t="n">
        <f aca="false">IFERROR(__xludf.dummyfunction("""COMPUTED_VALUE"""),2433101)</f>
        <v>2433101</v>
      </c>
      <c r="AY114" s="70" t="n">
        <f aca="false">IFERROR(__xludf.dummyfunction("""COMPUTED_VALUE"""),756792)</f>
        <v>756792</v>
      </c>
      <c r="AZ114" s="70" t="n">
        <f aca="false">IFERROR(__xludf.dummyfunction("""COMPUTED_VALUE"""),2061531)</f>
        <v>2061531</v>
      </c>
      <c r="BA114" s="70" t="n">
        <f aca="false">IFERROR(__xludf.dummyfunction("""COMPUTED_VALUE"""),202829)</f>
        <v>202829</v>
      </c>
    </row>
    <row r="115" customFormat="false" ht="15.75" hidden="false" customHeight="false" outlineLevel="0" collapsed="false">
      <c r="A115" s="78" t="str">
        <f aca="false">IFERROR(__xludf.dummyfunction("""COMPUTED_VALUE"""),"forecast_standard_deviation")</f>
        <v>forecast_standard_deviation</v>
      </c>
      <c r="B115" s="72" t="n">
        <f aca="false">IFERROR(__xludf.dummyfunction("""COMPUTED_VALUE"""),106593829)</f>
        <v>106593829</v>
      </c>
      <c r="C115" s="73" t="n">
        <f aca="false">IFERROR(__xludf.dummyfunction("""COMPUTED_VALUE"""),1961675)</f>
        <v>1961675</v>
      </c>
      <c r="D115" s="70" t="n">
        <f aca="false">IFERROR(__xludf.dummyfunction("""COMPUTED_VALUE"""),266044)</f>
        <v>266044</v>
      </c>
      <c r="E115" s="70" t="n">
        <f aca="false">IFERROR(__xludf.dummyfunction("""COMPUTED_VALUE"""),2367809)</f>
        <v>2367809</v>
      </c>
      <c r="F115" s="70" t="n">
        <f aca="false">IFERROR(__xludf.dummyfunction("""COMPUTED_VALUE"""),1000945)</f>
        <v>1000945</v>
      </c>
      <c r="G115" s="70" t="n">
        <f aca="false">IFERROR(__xludf.dummyfunction("""COMPUTED_VALUE"""),9824361)</f>
        <v>9824361</v>
      </c>
      <c r="H115" s="70" t="n">
        <f aca="false">IFERROR(__xludf.dummyfunction("""COMPUTED_VALUE"""),1965675)</f>
        <v>1965675</v>
      </c>
      <c r="I115" s="70" t="n">
        <f aca="false">IFERROR(__xludf.dummyfunction("""COMPUTED_VALUE"""),1159364)</f>
        <v>1159364</v>
      </c>
      <c r="J115" s="70" t="n">
        <f aca="false">IFERROR(__xludf.dummyfunction("""COMPUTED_VALUE"""),380003)</f>
        <v>380003</v>
      </c>
      <c r="K115" s="70" t="n">
        <f aca="false">IFERROR(__xludf.dummyfunction("""COMPUTED_VALUE"""),177863)</f>
        <v>177863</v>
      </c>
      <c r="L115" s="70" t="n">
        <f aca="false">IFERROR(__xludf.dummyfunction("""COMPUTED_VALUE"""),7907719)</f>
        <v>7907719</v>
      </c>
      <c r="M115" s="70" t="n">
        <f aca="false">IFERROR(__xludf.dummyfunction("""COMPUTED_VALUE"""),3752600)</f>
        <v>3752600</v>
      </c>
      <c r="N115" s="70" t="n">
        <f aca="false">IFERROR(__xludf.dummyfunction("""COMPUTED_VALUE"""),597870)</f>
        <v>597870</v>
      </c>
      <c r="O115" s="70" t="n">
        <f aca="false">IFERROR(__xludf.dummyfunction("""COMPUTED_VALUE"""),665628)</f>
        <v>665628</v>
      </c>
      <c r="P115" s="70" t="n">
        <f aca="false">IFERROR(__xludf.dummyfunction("""COMPUTED_VALUE"""),3890398)</f>
        <v>3890398</v>
      </c>
      <c r="Q115" s="70" t="n">
        <f aca="false">IFERROR(__xludf.dummyfunction("""COMPUTED_VALUE"""),2167606)</f>
        <v>2167606</v>
      </c>
      <c r="R115" s="70" t="n">
        <f aca="false">IFERROR(__xludf.dummyfunction("""COMPUTED_VALUE"""),1145384)</f>
        <v>1145384</v>
      </c>
      <c r="S115" s="70" t="n">
        <f aca="false">IFERROR(__xludf.dummyfunction("""COMPUTED_VALUE"""),896395)</f>
        <v>896395</v>
      </c>
      <c r="T115" s="70" t="n">
        <f aca="false">IFERROR(__xludf.dummyfunction("""COMPUTED_VALUE"""),1551263)</f>
        <v>1551263</v>
      </c>
      <c r="U115" s="70" t="n">
        <f aca="false">IFERROR(__xludf.dummyfunction("""COMPUTED_VALUE"""),1538282)</f>
        <v>1538282</v>
      </c>
      <c r="V115" s="70" t="n">
        <f aca="false">IFERROR(__xludf.dummyfunction("""COMPUTED_VALUE"""),578717)</f>
        <v>578717</v>
      </c>
      <c r="W115" s="70" t="n">
        <f aca="false">IFERROR(__xludf.dummyfunction("""COMPUTED_VALUE"""),2081546)</f>
        <v>2081546</v>
      </c>
      <c r="X115" s="70" t="n">
        <f aca="false">IFERROR(__xludf.dummyfunction("""COMPUTED_VALUE"""),2152232)</f>
        <v>2152232</v>
      </c>
      <c r="Y115" s="70" t="n">
        <f aca="false">IFERROR(__xludf.dummyfunction("""COMPUTED_VALUE"""),3572913)</f>
        <v>3572913</v>
      </c>
      <c r="Z115" s="70" t="n">
        <f aca="false">IFERROR(__xludf.dummyfunction("""COMPUTED_VALUE"""),1886802)</f>
        <v>1886802</v>
      </c>
      <c r="AA115" s="70" t="n">
        <f aca="false">IFERROR(__xludf.dummyfunction("""COMPUTED_VALUE"""),1146106)</f>
        <v>1146106</v>
      </c>
      <c r="AB115" s="70" t="n">
        <f aca="false">IFERROR(__xludf.dummyfunction("""COMPUTED_VALUE"""),2108122)</f>
        <v>2108122</v>
      </c>
      <c r="AC115" s="70" t="n">
        <f aca="false">IFERROR(__xludf.dummyfunction("""COMPUTED_VALUE"""),353304)</f>
        <v>353304</v>
      </c>
      <c r="AD115" s="70" t="n">
        <f aca="false">IFERROR(__xludf.dummyfunction("""COMPUTED_VALUE"""),614889)</f>
        <v>614889</v>
      </c>
      <c r="AE115" s="70" t="n">
        <f aca="false">IFERROR(__xludf.dummyfunction("""COMPUTED_VALUE"""),967470)</f>
        <v>967470</v>
      </c>
      <c r="AF115" s="70" t="n">
        <f aca="false">IFERROR(__xludf.dummyfunction("""COMPUTED_VALUE"""),535577)</f>
        <v>535577</v>
      </c>
      <c r="AG115" s="70" t="n">
        <f aca="false">IFERROR(__xludf.dummyfunction("""COMPUTED_VALUE"""),2797323)</f>
        <v>2797323</v>
      </c>
      <c r="AH115" s="70" t="n">
        <f aca="false">IFERROR(__xludf.dummyfunction("""COMPUTED_VALUE"""),818198)</f>
        <v>818198</v>
      </c>
      <c r="AI115" s="70" t="n">
        <f aca="false">IFERROR(__xludf.dummyfunction("""COMPUTED_VALUE"""),4682725)</f>
        <v>4682725</v>
      </c>
      <c r="AJ115" s="70" t="n">
        <f aca="false">IFERROR(__xludf.dummyfunction("""COMPUTED_VALUE"""),3934186)</f>
        <v>3934186</v>
      </c>
      <c r="AK115" s="70" t="n">
        <f aca="false">IFERROR(__xludf.dummyfunction("""COMPUTED_VALUE"""),207697)</f>
        <v>207697</v>
      </c>
      <c r="AL115" s="70" t="n">
        <f aca="false">IFERROR(__xludf.dummyfunction("""COMPUTED_VALUE"""),3983542)</f>
        <v>3983542</v>
      </c>
      <c r="AM115" s="70" t="n">
        <f aca="false">IFERROR(__xludf.dummyfunction("""COMPUTED_VALUE"""),1463069)</f>
        <v>1463069</v>
      </c>
      <c r="AN115" s="70" t="n">
        <f aca="false">IFERROR(__xludf.dummyfunction("""COMPUTED_VALUE"""),1469034)</f>
        <v>1469034</v>
      </c>
      <c r="AO115" s="70" t="n">
        <f aca="false">IFERROR(__xludf.dummyfunction("""COMPUTED_VALUE"""),4469045)</f>
        <v>4469045</v>
      </c>
      <c r="AP115" s="70" t="n">
        <f aca="false">IFERROR(__xludf.dummyfunction("""COMPUTED_VALUE"""),356119)</f>
        <v>356119</v>
      </c>
      <c r="AQ115" s="70" t="n">
        <f aca="false">IFERROR(__xludf.dummyfunction("""COMPUTED_VALUE"""),1979488)</f>
        <v>1979488</v>
      </c>
      <c r="AR115" s="70" t="n">
        <f aca="false">IFERROR(__xludf.dummyfunction("""COMPUTED_VALUE"""),232110)</f>
        <v>232110</v>
      </c>
      <c r="AS115" s="70" t="n">
        <f aca="false">IFERROR(__xludf.dummyfunction("""COMPUTED_VALUE"""),2842720)</f>
        <v>2842720</v>
      </c>
      <c r="AT115" s="70" t="n">
        <f aca="false">IFERROR(__xludf.dummyfunction("""COMPUTED_VALUE"""),8474704)</f>
        <v>8474704</v>
      </c>
      <c r="AU115" s="70" t="n">
        <f aca="false">IFERROR(__xludf.dummyfunction("""COMPUTED_VALUE"""),903052)</f>
        <v>903052</v>
      </c>
      <c r="AV115" s="70" t="n">
        <f aca="false">IFERROR(__xludf.dummyfunction("""COMPUTED_VALUE"""),274708)</f>
        <v>274708</v>
      </c>
      <c r="AW115" s="70" t="n">
        <f aca="false">IFERROR(__xludf.dummyfunction("""COMPUTED_VALUE"""),3037294)</f>
        <v>3037294</v>
      </c>
      <c r="AX115" s="70" t="n">
        <f aca="false">IFERROR(__xludf.dummyfunction("""COMPUTED_VALUE"""),2433101)</f>
        <v>2433101</v>
      </c>
      <c r="AY115" s="70" t="n">
        <f aca="false">IFERROR(__xludf.dummyfunction("""COMPUTED_VALUE"""),756792)</f>
        <v>756792</v>
      </c>
      <c r="AZ115" s="70" t="n">
        <f aca="false">IFERROR(__xludf.dummyfunction("""COMPUTED_VALUE"""),2061531)</f>
        <v>2061531</v>
      </c>
      <c r="BA115" s="70" t="n">
        <f aca="false">IFERROR(__xludf.dummyfunction("""COMPUTED_VALUE"""),202829)</f>
        <v>202829</v>
      </c>
    </row>
    <row r="116" customFormat="false" ht="15.75" hidden="false" customHeight="false" outlineLevel="0" collapsed="false">
      <c r="A116" s="78" t="str">
        <f aca="false">IFERROR(__xludf.dummyfunction("""COMPUTED_VALUE"""),"date")</f>
        <v>date</v>
      </c>
      <c r="B116" s="72" t="n">
        <f aca="false">IFERROR(__xludf.dummyfunction("""COMPUTED_VALUE"""),106831852)</f>
        <v>106831852</v>
      </c>
      <c r="C116" s="82" t="n">
        <f aca="false">IFERROR(__xludf.dummyfunction("""COMPUTED_VALUE"""),1964714)</f>
        <v>1964714</v>
      </c>
      <c r="D116" s="83" t="n">
        <f aca="false">IFERROR(__xludf.dummyfunction("""COMPUTED_VALUE"""),266234)</f>
        <v>266234</v>
      </c>
      <c r="E116" s="84" t="n">
        <f aca="false">IFERROR(__xludf.dummyfunction("""COMPUTED_VALUE"""),2372337)</f>
        <v>2372337</v>
      </c>
      <c r="F116" s="84" t="n">
        <f aca="false">IFERROR(__xludf.dummyfunction("""COMPUTED_VALUE"""),1001799)</f>
        <v>1001799</v>
      </c>
      <c r="G116" s="84" t="n">
        <f aca="false">IFERROR(__xludf.dummyfunction("""COMPUTED_VALUE"""),9839862)</f>
        <v>9839862</v>
      </c>
      <c r="H116" s="84" t="n">
        <f aca="false">IFERROR(__xludf.dummyfunction("""COMPUTED_VALUE"""),1975106)</f>
        <v>1975106</v>
      </c>
      <c r="I116" s="84" t="n">
        <f aca="false">IFERROR(__xludf.dummyfunction("""COMPUTED_VALUE"""),1160206)</f>
        <v>1160206</v>
      </c>
      <c r="J116" s="84" t="n">
        <f aca="false">IFERROR(__xludf.dummyfunction("""COMPUTED_VALUE"""),380317)</f>
        <v>380317</v>
      </c>
      <c r="K116" s="84" t="n">
        <f aca="false">IFERROR(__xludf.dummyfunction("""COMPUTED_VALUE"""),178412)</f>
        <v>178412</v>
      </c>
      <c r="L116" s="84" t="n">
        <f aca="false">IFERROR(__xludf.dummyfunction("""COMPUTED_VALUE"""),7927399)</f>
        <v>7927399</v>
      </c>
      <c r="M116" s="84" t="n">
        <f aca="false">IFERROR(__xludf.dummyfunction("""COMPUTED_VALUE"""),3767883)</f>
        <v>3767883</v>
      </c>
      <c r="N116" s="84" t="n">
        <f aca="false">IFERROR(__xludf.dummyfunction("""COMPUTED_VALUE"""),610180)</f>
        <v>610180</v>
      </c>
      <c r="O116" s="84" t="n">
        <f aca="false">IFERROR(__xludf.dummyfunction("""COMPUTED_VALUE"""),666706)</f>
        <v>666706</v>
      </c>
      <c r="P116" s="84" t="n">
        <f aca="false">IFERROR(__xludf.dummyfunction("""COMPUTED_VALUE"""),3898589)</f>
        <v>3898589</v>
      </c>
      <c r="Q116" s="84" t="n">
        <f aca="false">IFERROR(__xludf.dummyfunction("""COMPUTED_VALUE"""),2167883)</f>
        <v>2167883</v>
      </c>
      <c r="R116" s="84" t="n">
        <f aca="false">IFERROR(__xludf.dummyfunction("""COMPUTED_VALUE"""),1146570)</f>
        <v>1146570</v>
      </c>
      <c r="S116" s="84" t="n">
        <f aca="false">IFERROR(__xludf.dummyfunction("""COMPUTED_VALUE"""),897054)</f>
        <v>897054</v>
      </c>
      <c r="T116" s="84" t="n">
        <f aca="false">IFERROR(__xludf.dummyfunction("""COMPUTED_VALUE"""),1552165)</f>
        <v>1552165</v>
      </c>
      <c r="U116" s="84" t="n">
        <f aca="false">IFERROR(__xludf.dummyfunction("""COMPUTED_VALUE"""),1539087)</f>
        <v>1539087</v>
      </c>
      <c r="V116" s="84" t="n">
        <f aca="false">IFERROR(__xludf.dummyfunction("""COMPUTED_VALUE"""),578945)</f>
        <v>578945</v>
      </c>
      <c r="W116" s="84" t="n">
        <f aca="false">IFERROR(__xludf.dummyfunction("""COMPUTED_VALUE"""),2088451)</f>
        <v>2088451</v>
      </c>
      <c r="X116" s="84" t="n">
        <f aca="false">IFERROR(__xludf.dummyfunction("""COMPUTED_VALUE"""),2163495)</f>
        <v>2163495</v>
      </c>
      <c r="Y116" s="84" t="n">
        <f aca="false">IFERROR(__xludf.dummyfunction("""COMPUTED_VALUE"""),3577788)</f>
        <v>3577788</v>
      </c>
      <c r="Z116" s="84" t="n">
        <f aca="false">IFERROR(__xludf.dummyfunction("""COMPUTED_VALUE"""),1890623)</f>
        <v>1890623</v>
      </c>
      <c r="AA116" s="84" t="n">
        <f aca="false">IFERROR(__xludf.dummyfunction("""COMPUTED_VALUE"""),1146265)</f>
        <v>1146265</v>
      </c>
      <c r="AB116" s="84" t="n">
        <f aca="false">IFERROR(__xludf.dummyfunction("""COMPUTED_VALUE"""),2109810)</f>
        <v>2109810</v>
      </c>
      <c r="AC116" s="84" t="n">
        <f aca="false">IFERROR(__xludf.dummyfunction("""COMPUTED_VALUE"""),353595)</f>
        <v>353595</v>
      </c>
      <c r="AD116" s="84" t="n">
        <f aca="false">IFERROR(__xludf.dummyfunction("""COMPUTED_VALUE"""),615495)</f>
        <v>615495</v>
      </c>
      <c r="AE116" s="84" t="n">
        <f aca="false">IFERROR(__xludf.dummyfunction("""COMPUTED_VALUE"""),968698)</f>
        <v>968698</v>
      </c>
      <c r="AF116" s="84" t="n">
        <f aca="false">IFERROR(__xludf.dummyfunction("""COMPUTED_VALUE"""),535976)</f>
        <v>535976</v>
      </c>
      <c r="AG116" s="84" t="n">
        <f aca="false">IFERROR(__xludf.dummyfunction("""COMPUTED_VALUE"""),2804614)</f>
        <v>2804614</v>
      </c>
      <c r="AH116" s="84" t="n">
        <f aca="false">IFERROR(__xludf.dummyfunction("""COMPUTED_VALUE"""),818784)</f>
        <v>818784</v>
      </c>
      <c r="AI116" s="84" t="n">
        <f aca="false">IFERROR(__xludf.dummyfunction("""COMPUTED_VALUE"""),4723467)</f>
        <v>4723467</v>
      </c>
      <c r="AJ116" s="84" t="n">
        <f aca="false">IFERROR(__xludf.dummyfunction("""COMPUTED_VALUE"""),3944999)</f>
        <v>3944999</v>
      </c>
      <c r="AK116" s="84" t="n">
        <f aca="false">IFERROR(__xludf.dummyfunction("""COMPUTED_VALUE"""),207807)</f>
        <v>207807</v>
      </c>
      <c r="AL116" s="84" t="n">
        <f aca="false">IFERROR(__xludf.dummyfunction("""COMPUTED_VALUE"""),3986934)</f>
        <v>3986934</v>
      </c>
      <c r="AM116" s="84" t="n">
        <f aca="false">IFERROR(__xludf.dummyfunction("""COMPUTED_VALUE"""),1465511)</f>
        <v>1465511</v>
      </c>
      <c r="AN116" s="84" t="n">
        <f aca="false">IFERROR(__xludf.dummyfunction("""COMPUTED_VALUE"""),1473093)</f>
        <v>1473093</v>
      </c>
      <c r="AO116" s="84" t="n">
        <f aca="false">IFERROR(__xludf.dummyfunction("""COMPUTED_VALUE"""),4473089)</f>
        <v>4473089</v>
      </c>
      <c r="AP116" s="84" t="n">
        <f aca="false">IFERROR(__xludf.dummyfunction("""COMPUTED_VALUE"""),356414)</f>
        <v>356414</v>
      </c>
      <c r="AQ116" s="84" t="n">
        <f aca="false">IFERROR(__xludf.dummyfunction("""COMPUTED_VALUE"""),1982790)</f>
        <v>1982790</v>
      </c>
      <c r="AR116" s="84" t="n">
        <f aca="false">IFERROR(__xludf.dummyfunction("""COMPUTED_VALUE"""),232215)</f>
        <v>232215</v>
      </c>
      <c r="AS116" s="84" t="n">
        <f aca="false">IFERROR(__xludf.dummyfunction("""COMPUTED_VALUE"""),2849567)</f>
        <v>2849567</v>
      </c>
      <c r="AT116" s="84" t="n">
        <f aca="false">IFERROR(__xludf.dummyfunction("""COMPUTED_VALUE"""),8480146)</f>
        <v>8480146</v>
      </c>
      <c r="AU116" s="84" t="n">
        <f aca="false">IFERROR(__xludf.dummyfunction("""COMPUTED_VALUE"""),904222)</f>
        <v>904222</v>
      </c>
      <c r="AV116" s="84" t="n">
        <f aca="false">IFERROR(__xludf.dummyfunction("""COMPUTED_VALUE"""),274886)</f>
        <v>274886</v>
      </c>
      <c r="AW116" s="84" t="n">
        <f aca="false">IFERROR(__xludf.dummyfunction("""COMPUTED_VALUE"""),3050900)</f>
        <v>3050900</v>
      </c>
      <c r="AX116" s="84" t="n">
        <f aca="false">IFERROR(__xludf.dummyfunction("""COMPUTED_VALUE"""),2437024)</f>
        <v>2437024</v>
      </c>
      <c r="AY116" s="84" t="n">
        <f aca="false">IFERROR(__xludf.dummyfunction("""COMPUTED_VALUE"""),756935)</f>
        <v>756935</v>
      </c>
      <c r="AZ116" s="84" t="n">
        <f aca="false">IFERROR(__xludf.dummyfunction("""COMPUTED_VALUE"""),2063723)</f>
        <v>2063723</v>
      </c>
      <c r="BA116" s="84" t="n">
        <f aca="false">IFERROR(__xludf.dummyfunction("""COMPUTED_VALUE"""),203088)</f>
        <v>203088</v>
      </c>
    </row>
    <row r="117" customFormat="false" ht="15.75" hidden="false" customHeight="false" outlineLevel="0" collapsed="false">
      <c r="B117" s="59"/>
      <c r="C117" s="79"/>
      <c r="D117" s="80"/>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row>
    <row r="118" customFormat="false" ht="15.75" hidden="false" customHeight="false" outlineLevel="0" collapsed="false">
      <c r="A118" s="74" t="s">
        <v>1819</v>
      </c>
      <c r="B118" s="63"/>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row>
    <row r="119" customFormat="false" ht="15.75" hidden="false" customHeight="false" outlineLevel="0" collapsed="false">
      <c r="A119" s="75" t="str">
        <f aca="false">IFERROR(__xludf.dummyfunction("TRANSPOSE(IMPORTRANGE(""https://docs.google.com/spreadsheets/d/1sNrf4xlwHQ-LujHTd1_nLHq6duGtTzjk33k9jntfg4c"", ""'Owners'!F4:O56""))"),"name")</f>
        <v>name</v>
      </c>
      <c r="B119" s="56" t="n">
        <f aca="false">IFERROR(__xludf.dummyfunction("""COMPUTED_VALUE"""),125590879)</f>
        <v>125590879</v>
      </c>
      <c r="C119" s="76" t="n">
        <f aca="false">IFERROR(__xludf.dummyfunction("""COMPUTED_VALUE"""),2564094)</f>
        <v>2564094</v>
      </c>
      <c r="D119" s="77" t="n">
        <f aca="false">IFERROR(__xludf.dummyfunction("""COMPUTED_VALUE"""),825588)</f>
        <v>825588</v>
      </c>
      <c r="E119" s="77" t="n">
        <f aca="false">IFERROR(__xludf.dummyfunction("""COMPUTED_VALUE"""),2508212)</f>
        <v>2508212</v>
      </c>
      <c r="F119" s="77" t="n">
        <f aca="false">IFERROR(__xludf.dummyfunction("""COMPUTED_VALUE"""),1315171)</f>
        <v>1315171</v>
      </c>
      <c r="G119" s="77" t="n">
        <f aca="false">IFERROR(__xludf.dummyfunction("""COMPUTED_VALUE"""),10671146)</f>
        <v>10671146</v>
      </c>
      <c r="H119" s="77" t="n">
        <f aca="false">IFERROR(__xludf.dummyfunction("""COMPUTED_VALUE"""),2543201)</f>
        <v>2543201</v>
      </c>
      <c r="I119" s="77" t="n">
        <f aca="false">IFERROR(__xludf.dummyfunction("""COMPUTED_VALUE"""),1245105)</f>
        <v>1245105</v>
      </c>
      <c r="J119" s="77" t="n">
        <f aca="false">IFERROR(__xludf.dummyfunction("""COMPUTED_VALUE"""),530095)</f>
        <v>530095</v>
      </c>
      <c r="K119" s="77" t="n">
        <f aca="false">IFERROR(__xludf.dummyfunction("""COMPUTED_VALUE"""),182182)</f>
        <v>182182</v>
      </c>
      <c r="L119" s="77" t="n">
        <f aca="false">IFERROR(__xludf.dummyfunction("""COMPUTED_VALUE"""),8386839)</f>
        <v>8386839</v>
      </c>
      <c r="M119" s="77" t="n">
        <f aca="false">IFERROR(__xludf.dummyfunction("""COMPUTED_VALUE"""),4421713)</f>
        <v>4421713</v>
      </c>
      <c r="N119" s="77" t="n">
        <f aca="false">IFERROR(__xludf.dummyfunction("""COMPUTED_VALUE"""),667432)</f>
        <v>667432</v>
      </c>
      <c r="O119" s="77" t="n">
        <f aca="false">IFERROR(__xludf.dummyfunction("""COMPUTED_VALUE"""),839917)</f>
        <v>839917</v>
      </c>
      <c r="P119" s="77" t="n">
        <f aca="false">IFERROR(__xludf.dummyfunction("""COMPUTED_VALUE"""),4505591)</f>
        <v>4505591</v>
      </c>
      <c r="Q119" s="77" t="n">
        <f aca="false">IFERROR(__xludf.dummyfunction("""COMPUTED_VALUE"""),2433154)</f>
        <v>2433154</v>
      </c>
      <c r="R119" s="77" t="n">
        <f aca="false">IFERROR(__xludf.dummyfunction("""COMPUTED_VALUE"""),1690297)</f>
        <v>1690297</v>
      </c>
      <c r="S119" s="77" t="n">
        <f aca="false">IFERROR(__xludf.dummyfunction("""COMPUTED_VALUE"""),1140584)</f>
        <v>1140584</v>
      </c>
      <c r="T119" s="77" t="n">
        <f aca="false">IFERROR(__xludf.dummyfunction("""COMPUTED_VALUE"""),2062479)</f>
        <v>2062479</v>
      </c>
      <c r="U119" s="77" t="n">
        <f aca="false">IFERROR(__xludf.dummyfunction("""COMPUTED_VALUE"""),1893630)</f>
        <v>1893630</v>
      </c>
      <c r="V119" s="77" t="n">
        <f aca="false">IFERROR(__xludf.dummyfunction("""COMPUTED_VALUE"""),684870)</f>
        <v>684870</v>
      </c>
      <c r="W119" s="77" t="n">
        <f aca="false">IFERROR(__xludf.dummyfunction("""COMPUTED_VALUE"""),2249534)</f>
        <v>2249534</v>
      </c>
      <c r="X119" s="77" t="n">
        <f aca="false">IFERROR(__xludf.dummyfunction("""COMPUTED_VALUE"""),2269782)</f>
        <v>2269782</v>
      </c>
      <c r="Y119" s="77" t="n">
        <f aca="false">IFERROR(__xludf.dummyfunction("""COMPUTED_VALUE"""),4267672)</f>
        <v>4267672</v>
      </c>
      <c r="Z119" s="77" t="n">
        <f aca="false">IFERROR(__xludf.dummyfunction("""COMPUTED_VALUE"""),2369795)</f>
        <v>2369795</v>
      </c>
      <c r="AA119" s="77" t="n">
        <f aca="false">IFERROR(__xludf.dummyfunction("""COMPUTED_VALUE"""),1541589)</f>
        <v>1541589</v>
      </c>
      <c r="AB119" s="77" t="n">
        <f aca="false">IFERROR(__xludf.dummyfunction("""COMPUTED_VALUE"""),2785722)</f>
        <v>2785722</v>
      </c>
      <c r="AC119" s="77" t="n">
        <f aca="false">IFERROR(__xludf.dummyfunction("""COMPUTED_VALUE"""),481353)</f>
        <v>481353</v>
      </c>
      <c r="AD119" s="77" t="n">
        <f aca="false">IFERROR(__xludf.dummyfunction("""COMPUTED_VALUE"""),782827)</f>
        <v>782827</v>
      </c>
      <c r="AE119" s="77" t="n">
        <f aca="false">IFERROR(__xludf.dummyfunction("""COMPUTED_VALUE"""),1015355)</f>
        <v>1015355</v>
      </c>
      <c r="AF119" s="77" t="n">
        <f aca="false">IFERROR(__xludf.dummyfunction("""COMPUTED_VALUE"""),596306)</f>
        <v>596306</v>
      </c>
      <c r="AG119" s="77" t="n">
        <f aca="false">IFERROR(__xludf.dummyfunction("""COMPUTED_VALUE"""),2878146)</f>
        <v>2878146</v>
      </c>
      <c r="AH119" s="77" t="n">
        <f aca="false">IFERROR(__xludf.dummyfunction("""COMPUTED_VALUE"""),1128472)</f>
        <v>1128472</v>
      </c>
      <c r="AI119" s="77" t="n">
        <f aca="false">IFERROR(__xludf.dummyfunction("""COMPUTED_VALUE"""),5775113)</f>
        <v>5775113</v>
      </c>
      <c r="AJ119" s="77" t="n">
        <f aca="false">IFERROR(__xludf.dummyfunction("""COMPUTED_VALUE"""),4694644)</f>
        <v>4694644</v>
      </c>
      <c r="AK119" s="77" t="n">
        <f aca="false">IFERROR(__xludf.dummyfunction("""COMPUTED_VALUE"""),297045)</f>
        <v>297045</v>
      </c>
      <c r="AL119" s="77" t="n">
        <f aca="false">IFERROR(__xludf.dummyfunction("""COMPUTED_VALUE"""),4413349)</f>
        <v>4413349</v>
      </c>
      <c r="AM119" s="77" t="n">
        <f aca="false">IFERROR(__xludf.dummyfunction("""COMPUTED_VALUE"""),2158765)</f>
        <v>2158765</v>
      </c>
      <c r="AN119" s="77" t="n">
        <f aca="false">IFERROR(__xludf.dummyfunction("""COMPUTED_VALUE"""),1652908)</f>
        <v>1652908</v>
      </c>
      <c r="AO119" s="77" t="n">
        <f aca="false">IFERROR(__xludf.dummyfunction("""COMPUTED_VALUE"""),5027031)</f>
        <v>5027031</v>
      </c>
      <c r="AP119" s="77" t="n">
        <f aca="false">IFERROR(__xludf.dummyfunction("""COMPUTED_VALUE"""),370692)</f>
        <v>370692</v>
      </c>
      <c r="AQ119" s="77" t="n">
        <f aca="false">IFERROR(__xludf.dummyfunction("""COMPUTED_VALUE"""),2544468)</f>
        <v>2544468</v>
      </c>
      <c r="AR119" s="77" t="n">
        <f aca="false">IFERROR(__xludf.dummyfunction("""COMPUTED_VALUE"""),359925)</f>
        <v>359925</v>
      </c>
      <c r="AS119" s="77" t="n">
        <f aca="false">IFERROR(__xludf.dummyfunction("""COMPUTED_VALUE"""),3433840)</f>
        <v>3433840</v>
      </c>
      <c r="AT119" s="77" t="n">
        <f aca="false">IFERROR(__xludf.dummyfunction("""COMPUTED_VALUE"""),9768174)</f>
        <v>9768174</v>
      </c>
      <c r="AU119" s="77" t="n">
        <f aca="false">IFERROR(__xludf.dummyfunction("""COMPUTED_VALUE"""),1145586)</f>
        <v>1145586</v>
      </c>
      <c r="AV119" s="77" t="n">
        <f aca="false">IFERROR(__xludf.dummyfunction("""COMPUTED_VALUE"""),370445)</f>
        <v>370445</v>
      </c>
      <c r="AW119" s="77" t="n">
        <f aca="false">IFERROR(__xludf.dummyfunction("""COMPUTED_VALUE"""),3513252)</f>
        <v>3513252</v>
      </c>
      <c r="AX119" s="77" t="n">
        <f aca="false">IFERROR(__xludf.dummyfunction("""COMPUTED_VALUE"""),2645359)</f>
        <v>2645359</v>
      </c>
      <c r="AY119" s="77" t="n">
        <f aca="false">IFERROR(__xludf.dummyfunction("""COMPUTED_VALUE"""),1079591)</f>
        <v>1079591</v>
      </c>
      <c r="AZ119" s="77" t="n">
        <f aca="false">IFERROR(__xludf.dummyfunction("""COMPUTED_VALUE"""),2577267)</f>
        <v>2577267</v>
      </c>
      <c r="BA119" s="77" t="n">
        <f aca="false">IFERROR(__xludf.dummyfunction("""COMPUTED_VALUE"""),268329)</f>
        <v>268329</v>
      </c>
    </row>
    <row r="120" customFormat="false" ht="15.75" hidden="false" customHeight="false" outlineLevel="0" collapsed="false">
      <c r="A120" s="78" t="str">
        <f aca="false">IFERROR(__xludf.dummyfunction("""COMPUTED_VALUE"""),"second_name")</f>
        <v>second_name</v>
      </c>
      <c r="B120" s="72" t="n">
        <f aca="false">IFERROR(__xludf.dummyfunction("""COMPUTED_VALUE"""),0)</f>
        <v>0</v>
      </c>
      <c r="C120" s="73" t="n">
        <f aca="false">IFERROR(__xludf.dummyfunction("""COMPUTED_VALUE"""),0)</f>
        <v>0</v>
      </c>
      <c r="D120" s="70" t="n">
        <f aca="false">IFERROR(__xludf.dummyfunction("""COMPUTED_VALUE"""),0)</f>
        <v>0</v>
      </c>
      <c r="E120" s="70" t="n">
        <f aca="false">IFERROR(__xludf.dummyfunction("""COMPUTED_VALUE"""),0)</f>
        <v>0</v>
      </c>
      <c r="F120" s="70" t="n">
        <f aca="false">IFERROR(__xludf.dummyfunction("""COMPUTED_VALUE"""),0)</f>
        <v>0</v>
      </c>
      <c r="G120" s="70" t="n">
        <f aca="false">IFERROR(__xludf.dummyfunction("""COMPUTED_VALUE"""),0)</f>
        <v>0</v>
      </c>
      <c r="H120" s="70" t="n">
        <f aca="false">IFERROR(__xludf.dummyfunction("""COMPUTED_VALUE"""),0)</f>
        <v>0</v>
      </c>
      <c r="I120" s="70" t="n">
        <f aca="false">IFERROR(__xludf.dummyfunction("""COMPUTED_VALUE"""),0)</f>
        <v>0</v>
      </c>
      <c r="J120" s="70" t="n">
        <f aca="false">IFERROR(__xludf.dummyfunction("""COMPUTED_VALUE"""),0)</f>
        <v>0</v>
      </c>
      <c r="K120" s="70" t="n">
        <f aca="false">IFERROR(__xludf.dummyfunction("""COMPUTED_VALUE"""),0)</f>
        <v>0</v>
      </c>
      <c r="L120" s="70" t="n">
        <f aca="false">IFERROR(__xludf.dummyfunction("""COMPUTED_VALUE"""),0)</f>
        <v>0</v>
      </c>
      <c r="M120" s="70" t="n">
        <f aca="false">IFERROR(__xludf.dummyfunction("""COMPUTED_VALUE"""),0)</f>
        <v>0</v>
      </c>
      <c r="N120" s="70" t="n">
        <f aca="false">IFERROR(__xludf.dummyfunction("""COMPUTED_VALUE"""),0)</f>
        <v>0</v>
      </c>
      <c r="O120" s="70" t="n">
        <f aca="false">IFERROR(__xludf.dummyfunction("""COMPUTED_VALUE"""),0)</f>
        <v>0</v>
      </c>
      <c r="P120" s="70" t="n">
        <f aca="false">IFERROR(__xludf.dummyfunction("""COMPUTED_VALUE"""),0)</f>
        <v>0</v>
      </c>
      <c r="Q120" s="70" t="n">
        <f aca="false">IFERROR(__xludf.dummyfunction("""COMPUTED_VALUE"""),0)</f>
        <v>0</v>
      </c>
      <c r="R120" s="70" t="n">
        <f aca="false">IFERROR(__xludf.dummyfunction("""COMPUTED_VALUE"""),0)</f>
        <v>0</v>
      </c>
      <c r="S120" s="70" t="n">
        <f aca="false">IFERROR(__xludf.dummyfunction("""COMPUTED_VALUE"""),0)</f>
        <v>0</v>
      </c>
      <c r="T120" s="70" t="n">
        <f aca="false">IFERROR(__xludf.dummyfunction("""COMPUTED_VALUE"""),0)</f>
        <v>0</v>
      </c>
      <c r="U120" s="70" t="n">
        <f aca="false">IFERROR(__xludf.dummyfunction("""COMPUTED_VALUE"""),0)</f>
        <v>0</v>
      </c>
      <c r="V120" s="70" t="n">
        <f aca="false">IFERROR(__xludf.dummyfunction("""COMPUTED_VALUE"""),0)</f>
        <v>0</v>
      </c>
      <c r="W120" s="70" t="n">
        <f aca="false">IFERROR(__xludf.dummyfunction("""COMPUTED_VALUE"""),0)</f>
        <v>0</v>
      </c>
      <c r="X120" s="70" t="n">
        <f aca="false">IFERROR(__xludf.dummyfunction("""COMPUTED_VALUE"""),0)</f>
        <v>0</v>
      </c>
      <c r="Y120" s="70" t="n">
        <f aca="false">IFERROR(__xludf.dummyfunction("""COMPUTED_VALUE"""),0)</f>
        <v>0</v>
      </c>
      <c r="Z120" s="70" t="n">
        <f aca="false">IFERROR(__xludf.dummyfunction("""COMPUTED_VALUE"""),0)</f>
        <v>0</v>
      </c>
      <c r="AA120" s="70" t="n">
        <f aca="false">IFERROR(__xludf.dummyfunction("""COMPUTED_VALUE"""),0)</f>
        <v>0</v>
      </c>
      <c r="AB120" s="70" t="n">
        <f aca="false">IFERROR(__xludf.dummyfunction("""COMPUTED_VALUE"""),0)</f>
        <v>0</v>
      </c>
      <c r="AC120" s="70" t="n">
        <f aca="false">IFERROR(__xludf.dummyfunction("""COMPUTED_VALUE"""),0)</f>
        <v>0</v>
      </c>
      <c r="AD120" s="70" t="n">
        <f aca="false">IFERROR(__xludf.dummyfunction("""COMPUTED_VALUE"""),0)</f>
        <v>0</v>
      </c>
      <c r="AE120" s="70" t="n">
        <f aca="false">IFERROR(__xludf.dummyfunction("""COMPUTED_VALUE"""),0)</f>
        <v>0</v>
      </c>
      <c r="AF120" s="70" t="n">
        <f aca="false">IFERROR(__xludf.dummyfunction("""COMPUTED_VALUE"""),0)</f>
        <v>0</v>
      </c>
      <c r="AG120" s="70" t="n">
        <f aca="false">IFERROR(__xludf.dummyfunction("""COMPUTED_VALUE"""),0)</f>
        <v>0</v>
      </c>
      <c r="AH120" s="70" t="n">
        <f aca="false">IFERROR(__xludf.dummyfunction("""COMPUTED_VALUE"""),0)</f>
        <v>0</v>
      </c>
      <c r="AI120" s="70" t="n">
        <f aca="false">IFERROR(__xludf.dummyfunction("""COMPUTED_VALUE"""),0)</f>
        <v>0</v>
      </c>
      <c r="AJ120" s="70" t="n">
        <f aca="false">IFERROR(__xludf.dummyfunction("""COMPUTED_VALUE"""),0)</f>
        <v>0</v>
      </c>
      <c r="AK120" s="70" t="n">
        <f aca="false">IFERROR(__xludf.dummyfunction("""COMPUTED_VALUE"""),0)</f>
        <v>0</v>
      </c>
      <c r="AL120" s="70" t="n">
        <f aca="false">IFERROR(__xludf.dummyfunction("""COMPUTED_VALUE"""),0)</f>
        <v>0</v>
      </c>
      <c r="AM120" s="70" t="n">
        <f aca="false">IFERROR(__xludf.dummyfunction("""COMPUTED_VALUE"""),0)</f>
        <v>0</v>
      </c>
      <c r="AN120" s="70" t="n">
        <f aca="false">IFERROR(__xludf.dummyfunction("""COMPUTED_VALUE"""),0)</f>
        <v>0</v>
      </c>
      <c r="AO120" s="70" t="n">
        <f aca="false">IFERROR(__xludf.dummyfunction("""COMPUTED_VALUE"""),0)</f>
        <v>0</v>
      </c>
      <c r="AP120" s="70" t="n">
        <f aca="false">IFERROR(__xludf.dummyfunction("""COMPUTED_VALUE"""),0)</f>
        <v>0</v>
      </c>
      <c r="AQ120" s="70" t="n">
        <f aca="false">IFERROR(__xludf.dummyfunction("""COMPUTED_VALUE"""),0)</f>
        <v>0</v>
      </c>
      <c r="AR120" s="70" t="n">
        <f aca="false">IFERROR(__xludf.dummyfunction("""COMPUTED_VALUE"""),0)</f>
        <v>0</v>
      </c>
      <c r="AS120" s="70" t="n">
        <f aca="false">IFERROR(__xludf.dummyfunction("""COMPUTED_VALUE"""),0)</f>
        <v>0</v>
      </c>
      <c r="AT120" s="70" t="n">
        <f aca="false">IFERROR(__xludf.dummyfunction("""COMPUTED_VALUE"""),0)</f>
        <v>0</v>
      </c>
      <c r="AU120" s="70" t="n">
        <f aca="false">IFERROR(__xludf.dummyfunction("""COMPUTED_VALUE"""),0)</f>
        <v>0</v>
      </c>
      <c r="AV120" s="70" t="n">
        <f aca="false">IFERROR(__xludf.dummyfunction("""COMPUTED_VALUE"""),0)</f>
        <v>0</v>
      </c>
      <c r="AW120" s="70" t="n">
        <f aca="false">IFERROR(__xludf.dummyfunction("""COMPUTED_VALUE"""),0)</f>
        <v>0</v>
      </c>
      <c r="AX120" s="70" t="n">
        <f aca="false">IFERROR(__xludf.dummyfunction("""COMPUTED_VALUE"""),0)</f>
        <v>0</v>
      </c>
      <c r="AY120" s="70" t="n">
        <f aca="false">IFERROR(__xludf.dummyfunction("""COMPUTED_VALUE"""),0)</f>
        <v>0</v>
      </c>
      <c r="AZ120" s="70" t="n">
        <f aca="false">IFERROR(__xludf.dummyfunction("""COMPUTED_VALUE"""),0)</f>
        <v>0</v>
      </c>
      <c r="BA120" s="70" t="n">
        <f aca="false">IFERROR(__xludf.dummyfunction("""COMPUTED_VALUE"""),0)</f>
        <v>0</v>
      </c>
    </row>
    <row r="121" customFormat="false" ht="15.75" hidden="false" customHeight="false" outlineLevel="0" collapsed="false">
      <c r="A121" s="78" t="str">
        <f aca="false">IFERROR(__xludf.dummyfunction("""COMPUTED_VALUE"""),"unit_type")</f>
        <v>unit_type</v>
      </c>
      <c r="B121" s="72" t="n">
        <f aca="false">IFERROR(__xludf.dummyfunction("""COMPUTED_VALUE"""),8765195)</f>
        <v>8765195</v>
      </c>
      <c r="C121" s="73" t="n">
        <f aca="false">IFERROR(__xludf.dummyfunction("""COMPUTED_VALUE"""),61143)</f>
        <v>61143</v>
      </c>
      <c r="D121" s="70" t="n">
        <f aca="false">IFERROR(__xludf.dummyfunction("""COMPUTED_VALUE"""),27316)</f>
        <v>27316</v>
      </c>
      <c r="E121" s="70" t="n">
        <f aca="false">IFERROR(__xludf.dummyfunction("""COMPUTED_VALUE"""),211099)</f>
        <v>211099</v>
      </c>
      <c r="F121" s="70" t="n">
        <f aca="false">IFERROR(__xludf.dummyfunction("""COMPUTED_VALUE"""),30169)</f>
        <v>30169</v>
      </c>
      <c r="G121" s="70" t="n">
        <f aca="false">IFERROR(__xludf.dummyfunction("""COMPUTED_VALUE"""),1024127)</f>
        <v>1024127</v>
      </c>
      <c r="H121" s="70" t="n">
        <f aca="false">IFERROR(__xludf.dummyfunction("""COMPUTED_VALUE"""),269561)</f>
        <v>269561</v>
      </c>
      <c r="I121" s="70" t="n">
        <f aca="false">IFERROR(__xludf.dummyfunction("""COMPUTED_VALUE"""),113935)</f>
        <v>113935</v>
      </c>
      <c r="J121" s="70" t="n">
        <f aca="false">IFERROR(__xludf.dummyfunction("""COMPUTED_VALUE"""),37795)</f>
        <v>37795</v>
      </c>
      <c r="K121" s="70" t="n">
        <f aca="false">IFERROR(__xludf.dummyfunction("""COMPUTED_VALUE"""),57012)</f>
        <v>57012</v>
      </c>
      <c r="L121" s="70" t="n">
        <f aca="false">IFERROR(__xludf.dummyfunction("""COMPUTED_VALUE"""),1175482)</f>
        <v>1175482</v>
      </c>
      <c r="M121" s="70" t="n">
        <f aca="false">IFERROR(__xludf.dummyfunction("""COMPUTED_VALUE"""),247273)</f>
        <v>247273</v>
      </c>
      <c r="N121" s="70" t="n">
        <f aca="false">IFERROR(__xludf.dummyfunction("""COMPUTED_VALUE"""),123438)</f>
        <v>123438</v>
      </c>
      <c r="O121" s="70" t="n">
        <f aca="false">IFERROR(__xludf.dummyfunction("""COMPUTED_VALUE"""),40181)</f>
        <v>40181</v>
      </c>
      <c r="P121" s="70" t="n">
        <f aca="false">IFERROR(__xludf.dummyfunction("""COMPUTED_VALUE"""),439686)</f>
        <v>439686</v>
      </c>
      <c r="Q121" s="70" t="n">
        <f aca="false">IFERROR(__xludf.dummyfunction("""COMPUTED_VALUE"""),56716)</f>
        <v>56716</v>
      </c>
      <c r="R121" s="70" t="n">
        <f aca="false">IFERROR(__xludf.dummyfunction("""COMPUTED_VALUE"""),90418)</f>
        <v>90418</v>
      </c>
      <c r="S121" s="70" t="n">
        <f aca="false">IFERROR(__xludf.dummyfunction("""COMPUTED_VALUE"""),27778)</f>
        <v>27778</v>
      </c>
      <c r="T121" s="70" t="n">
        <f aca="false">IFERROR(__xludf.dummyfunction("""COMPUTED_VALUE"""),54217)</f>
        <v>54217</v>
      </c>
      <c r="U121" s="70" t="n">
        <f aca="false">IFERROR(__xludf.dummyfunction("""COMPUTED_VALUE"""),63594)</f>
        <v>63594</v>
      </c>
      <c r="V121" s="70" t="n">
        <f aca="false">IFERROR(__xludf.dummyfunction("""COMPUTED_VALUE"""),26198)</f>
        <v>26198</v>
      </c>
      <c r="W121" s="70" t="n">
        <f aca="false">IFERROR(__xludf.dummyfunction("""COMPUTED_VALUE"""),177327)</f>
        <v>177327</v>
      </c>
      <c r="X121" s="70" t="n">
        <f aca="false">IFERROR(__xludf.dummyfunction("""COMPUTED_VALUE"""),296664)</f>
        <v>296664</v>
      </c>
      <c r="Y121" s="70" t="n">
        <f aca="false">IFERROR(__xludf.dummyfunction("""COMPUTED_VALUE"""),238592)</f>
        <v>238592</v>
      </c>
      <c r="Z121" s="70" t="n">
        <f aca="false">IFERROR(__xludf.dummyfunction("""COMPUTED_VALUE"""),132024)</f>
        <v>132024</v>
      </c>
      <c r="AA121" s="70" t="n">
        <f aca="false">IFERROR(__xludf.dummyfunction("""COMPUTED_VALUE"""),32243)</f>
        <v>32243</v>
      </c>
      <c r="AB121" s="70" t="n">
        <f aca="false">IFERROR(__xludf.dummyfunction("""COMPUTED_VALUE"""),106431)</f>
        <v>106431</v>
      </c>
      <c r="AC121" s="70" t="n">
        <f aca="false">IFERROR(__xludf.dummyfunction("""COMPUTED_VALUE"""),23215)</f>
        <v>23215</v>
      </c>
      <c r="AD121" s="70" t="n">
        <f aca="false">IFERROR(__xludf.dummyfunction("""COMPUTED_VALUE"""),32222)</f>
        <v>32222</v>
      </c>
      <c r="AE121" s="70" t="n">
        <f aca="false">IFERROR(__xludf.dummyfunction("""COMPUTED_VALUE"""),114345)</f>
        <v>114345</v>
      </c>
      <c r="AF121" s="70" t="n">
        <f aca="false">IFERROR(__xludf.dummyfunction("""COMPUTED_VALUE"""),45087)</f>
        <v>45087</v>
      </c>
      <c r="AG121" s="70" t="n">
        <f aca="false">IFERROR(__xludf.dummyfunction("""COMPUTED_VALUE"""),213476)</f>
        <v>213476</v>
      </c>
      <c r="AH121" s="70" t="n">
        <f aca="false">IFERROR(__xludf.dummyfunction("""COMPUTED_VALUE"""),63036)</f>
        <v>63036</v>
      </c>
      <c r="AI121" s="70" t="n">
        <f aca="false">IFERROR(__xludf.dummyfunction("""COMPUTED_VALUE"""),971209)</f>
        <v>971209</v>
      </c>
      <c r="AJ121" s="70" t="n">
        <f aca="false">IFERROR(__xludf.dummyfunction("""COMPUTED_VALUE"""),171492)</f>
        <v>171492</v>
      </c>
      <c r="AK121" s="70" t="n">
        <f aca="false">IFERROR(__xludf.dummyfunction("""COMPUTED_VALUE"""),14715)</f>
        <v>14715</v>
      </c>
      <c r="AL121" s="70" t="n">
        <f aca="false">IFERROR(__xludf.dummyfunction("""COMPUTED_VALUE"""),186431)</f>
        <v>186431</v>
      </c>
      <c r="AM121" s="70" t="n">
        <f aca="false">IFERROR(__xludf.dummyfunction("""COMPUTED_VALUE"""),57891)</f>
        <v>57891</v>
      </c>
      <c r="AN121" s="70" t="n">
        <f aca="false">IFERROR(__xludf.dummyfunction("""COMPUTED_VALUE"""),130961)</f>
        <v>130961</v>
      </c>
      <c r="AO121" s="70" t="n">
        <f aca="false">IFERROR(__xludf.dummyfunction("""COMPUTED_VALUE"""),160684)</f>
        <v>160684</v>
      </c>
      <c r="AP121" s="70" t="n">
        <f aca="false">IFERROR(__xludf.dummyfunction("""COMPUTED_VALUE"""),24561)</f>
        <v>24561</v>
      </c>
      <c r="AQ121" s="70" t="n">
        <f aca="false">IFERROR(__xludf.dummyfunction("""COMPUTED_VALUE"""),104350)</f>
        <v>104350</v>
      </c>
      <c r="AR121" s="70" t="n">
        <f aca="false">IFERROR(__xludf.dummyfunction("""COMPUTED_VALUE"""),12688)</f>
        <v>12688</v>
      </c>
      <c r="AS121" s="70" t="n">
        <f aca="false">IFERROR(__xludf.dummyfunction("""COMPUTED_VALUE"""),137467)</f>
        <v>137467</v>
      </c>
      <c r="AT121" s="70" t="n">
        <f aca="false">IFERROR(__xludf.dummyfunction("""COMPUTED_VALUE"""),586180)</f>
        <v>586180</v>
      </c>
      <c r="AU121" s="70" t="n">
        <f aca="false">IFERROR(__xludf.dummyfunction("""COMPUTED_VALUE"""),70625)</f>
        <v>70625</v>
      </c>
      <c r="AV121" s="70" t="n">
        <f aca="false">IFERROR(__xludf.dummyfunction("""COMPUTED_VALUE"""),17277)</f>
        <v>17277</v>
      </c>
      <c r="AW121" s="70" t="n">
        <f aca="false">IFERROR(__xludf.dummyfunction("""COMPUTED_VALUE"""),197575)</f>
        <v>197575</v>
      </c>
      <c r="AX121" s="70" t="n">
        <f aca="false">IFERROR(__xludf.dummyfunction("""COMPUTED_VALUE"""),141645)</f>
        <v>141645</v>
      </c>
      <c r="AY121" s="70" t="n">
        <f aca="false">IFERROR(__xludf.dummyfunction("""COMPUTED_VALUE"""),17147)</f>
        <v>17147</v>
      </c>
      <c r="AZ121" s="70" t="n">
        <f aca="false">IFERROR(__xludf.dummyfunction("""COMPUTED_VALUE"""),95616)</f>
        <v>95616</v>
      </c>
      <c r="BA121" s="70" t="n">
        <f aca="false">IFERROR(__xludf.dummyfunction("""COMPUTED_VALUE"""),13605)</f>
        <v>13605</v>
      </c>
    </row>
    <row r="122" customFormat="false" ht="15.75" hidden="false" customHeight="false" outlineLevel="0" collapsed="false">
      <c r="A122" s="78" t="str">
        <f aca="false">IFERROR(__xludf.dummyfunction("""COMPUTED_VALUE"""),"unit_number")</f>
        <v>unit_number</v>
      </c>
      <c r="B122" s="72" t="n">
        <f aca="false">IFERROR(__xludf.dummyfunction("""COMPUTED_VALUE"""),8761463)</f>
        <v>8761463</v>
      </c>
      <c r="C122" s="73" t="n">
        <f aca="false">IFERROR(__xludf.dummyfunction("""COMPUTED_VALUE"""),61118)</f>
        <v>61118</v>
      </c>
      <c r="D122" s="70" t="n">
        <f aca="false">IFERROR(__xludf.dummyfunction("""COMPUTED_VALUE"""),27313)</f>
        <v>27313</v>
      </c>
      <c r="E122" s="70" t="n">
        <f aca="false">IFERROR(__xludf.dummyfunction("""COMPUTED_VALUE"""),211060)</f>
        <v>211060</v>
      </c>
      <c r="F122" s="70" t="n">
        <f aca="false">IFERROR(__xludf.dummyfunction("""COMPUTED_VALUE"""),30143)</f>
        <v>30143</v>
      </c>
      <c r="G122" s="70" t="n">
        <f aca="false">IFERROR(__xludf.dummyfunction("""COMPUTED_VALUE"""),1024021)</f>
        <v>1024021</v>
      </c>
      <c r="H122" s="70" t="n">
        <f aca="false">IFERROR(__xludf.dummyfunction("""COMPUTED_VALUE"""),269530)</f>
        <v>269530</v>
      </c>
      <c r="I122" s="70" t="n">
        <f aca="false">IFERROR(__xludf.dummyfunction("""COMPUTED_VALUE"""),113914)</f>
        <v>113914</v>
      </c>
      <c r="J122" s="70" t="n">
        <f aca="false">IFERROR(__xludf.dummyfunction("""COMPUTED_VALUE"""),37790)</f>
        <v>37790</v>
      </c>
      <c r="K122" s="70" t="n">
        <f aca="false">IFERROR(__xludf.dummyfunction("""COMPUTED_VALUE"""),57004)</f>
        <v>57004</v>
      </c>
      <c r="L122" s="70" t="n">
        <f aca="false">IFERROR(__xludf.dummyfunction("""COMPUTED_VALUE"""),1175122)</f>
        <v>1175122</v>
      </c>
      <c r="M122" s="70" t="n">
        <f aca="false">IFERROR(__xludf.dummyfunction("""COMPUTED_VALUE"""),247146)</f>
        <v>247146</v>
      </c>
      <c r="N122" s="70" t="n">
        <f aca="false">IFERROR(__xludf.dummyfunction("""COMPUTED_VALUE"""),123404)</f>
        <v>123404</v>
      </c>
      <c r="O122" s="70" t="n">
        <f aca="false">IFERROR(__xludf.dummyfunction("""COMPUTED_VALUE"""),40174)</f>
        <v>40174</v>
      </c>
      <c r="P122" s="70" t="n">
        <f aca="false">IFERROR(__xludf.dummyfunction("""COMPUTED_VALUE"""),439591)</f>
        <v>439591</v>
      </c>
      <c r="Q122" s="70" t="n">
        <f aca="false">IFERROR(__xludf.dummyfunction("""COMPUTED_VALUE"""),56696)</f>
        <v>56696</v>
      </c>
      <c r="R122" s="70" t="n">
        <f aca="false">IFERROR(__xludf.dummyfunction("""COMPUTED_VALUE"""),90399)</f>
        <v>90399</v>
      </c>
      <c r="S122" s="70" t="n">
        <f aca="false">IFERROR(__xludf.dummyfunction("""COMPUTED_VALUE"""),27741)</f>
        <v>27741</v>
      </c>
      <c r="T122" s="70" t="n">
        <f aca="false">IFERROR(__xludf.dummyfunction("""COMPUTED_VALUE"""),54140)</f>
        <v>54140</v>
      </c>
      <c r="U122" s="70" t="n">
        <f aca="false">IFERROR(__xludf.dummyfunction("""COMPUTED_VALUE"""),63580)</f>
        <v>63580</v>
      </c>
      <c r="V122" s="70" t="n">
        <f aca="false">IFERROR(__xludf.dummyfunction("""COMPUTED_VALUE"""),26191)</f>
        <v>26191</v>
      </c>
      <c r="W122" s="70" t="n">
        <f aca="false">IFERROR(__xludf.dummyfunction("""COMPUTED_VALUE"""),177294)</f>
        <v>177294</v>
      </c>
      <c r="X122" s="70" t="n">
        <f aca="false">IFERROR(__xludf.dummyfunction("""COMPUTED_VALUE"""),296566)</f>
        <v>296566</v>
      </c>
      <c r="Y122" s="70" t="n">
        <f aca="false">IFERROR(__xludf.dummyfunction("""COMPUTED_VALUE"""),238545)</f>
        <v>238545</v>
      </c>
      <c r="Z122" s="70" t="n">
        <f aca="false">IFERROR(__xludf.dummyfunction("""COMPUTED_VALUE"""),132012)</f>
        <v>132012</v>
      </c>
      <c r="AA122" s="70" t="n">
        <f aca="false">IFERROR(__xludf.dummyfunction("""COMPUTED_VALUE"""),32195)</f>
        <v>32195</v>
      </c>
      <c r="AB122" s="70" t="n">
        <f aca="false">IFERROR(__xludf.dummyfunction("""COMPUTED_VALUE"""),106404)</f>
        <v>106404</v>
      </c>
      <c r="AC122" s="70" t="n">
        <f aca="false">IFERROR(__xludf.dummyfunction("""COMPUTED_VALUE"""),23211)</f>
        <v>23211</v>
      </c>
      <c r="AD122" s="70" t="n">
        <f aca="false">IFERROR(__xludf.dummyfunction("""COMPUTED_VALUE"""),32212)</f>
        <v>32212</v>
      </c>
      <c r="AE122" s="70" t="n">
        <f aca="false">IFERROR(__xludf.dummyfunction("""COMPUTED_VALUE"""),114314)</f>
        <v>114314</v>
      </c>
      <c r="AF122" s="70" t="n">
        <f aca="false">IFERROR(__xludf.dummyfunction("""COMPUTED_VALUE"""),45082)</f>
        <v>45082</v>
      </c>
      <c r="AG122" s="70" t="n">
        <f aca="false">IFERROR(__xludf.dummyfunction("""COMPUTED_VALUE"""),213363)</f>
        <v>213363</v>
      </c>
      <c r="AH122" s="70" t="n">
        <f aca="false">IFERROR(__xludf.dummyfunction("""COMPUTED_VALUE"""),63004)</f>
        <v>63004</v>
      </c>
      <c r="AI122" s="70" t="n">
        <f aca="false">IFERROR(__xludf.dummyfunction("""COMPUTED_VALUE"""),970079)</f>
        <v>970079</v>
      </c>
      <c r="AJ122" s="70" t="n">
        <f aca="false">IFERROR(__xludf.dummyfunction("""COMPUTED_VALUE"""),171458)</f>
        <v>171458</v>
      </c>
      <c r="AK122" s="70" t="n">
        <f aca="false">IFERROR(__xludf.dummyfunction("""COMPUTED_VALUE"""),14715)</f>
        <v>14715</v>
      </c>
      <c r="AL122" s="70" t="n">
        <f aca="false">IFERROR(__xludf.dummyfunction("""COMPUTED_VALUE"""),186284)</f>
        <v>186284</v>
      </c>
      <c r="AM122" s="70" t="n">
        <f aca="false">IFERROR(__xludf.dummyfunction("""COMPUTED_VALUE"""),57874)</f>
        <v>57874</v>
      </c>
      <c r="AN122" s="70" t="n">
        <f aca="false">IFERROR(__xludf.dummyfunction("""COMPUTED_VALUE"""),130936)</f>
        <v>130936</v>
      </c>
      <c r="AO122" s="70" t="n">
        <f aca="false">IFERROR(__xludf.dummyfunction("""COMPUTED_VALUE"""),160421)</f>
        <v>160421</v>
      </c>
      <c r="AP122" s="70" t="n">
        <f aca="false">IFERROR(__xludf.dummyfunction("""COMPUTED_VALUE"""),24553)</f>
        <v>24553</v>
      </c>
      <c r="AQ122" s="70" t="n">
        <f aca="false">IFERROR(__xludf.dummyfunction("""COMPUTED_VALUE"""),104314)</f>
        <v>104314</v>
      </c>
      <c r="AR122" s="70" t="n">
        <f aca="false">IFERROR(__xludf.dummyfunction("""COMPUTED_VALUE"""),12687)</f>
        <v>12687</v>
      </c>
      <c r="AS122" s="70" t="n">
        <f aca="false">IFERROR(__xludf.dummyfunction("""COMPUTED_VALUE"""),137422)</f>
        <v>137422</v>
      </c>
      <c r="AT122" s="70" t="n">
        <f aca="false">IFERROR(__xludf.dummyfunction("""COMPUTED_VALUE"""),585927)</f>
        <v>585927</v>
      </c>
      <c r="AU122" s="70" t="n">
        <f aca="false">IFERROR(__xludf.dummyfunction("""COMPUTED_VALUE"""),70522)</f>
        <v>70522</v>
      </c>
      <c r="AV122" s="70" t="n">
        <f aca="false">IFERROR(__xludf.dummyfunction("""COMPUTED_VALUE"""),17271)</f>
        <v>17271</v>
      </c>
      <c r="AW122" s="70" t="n">
        <f aca="false">IFERROR(__xludf.dummyfunction("""COMPUTED_VALUE"""),197545)</f>
        <v>197545</v>
      </c>
      <c r="AX122" s="70" t="n">
        <f aca="false">IFERROR(__xludf.dummyfunction("""COMPUTED_VALUE"""),141615)</f>
        <v>141615</v>
      </c>
      <c r="AY122" s="70" t="n">
        <f aca="false">IFERROR(__xludf.dummyfunction("""COMPUTED_VALUE"""),17119)</f>
        <v>17119</v>
      </c>
      <c r="AZ122" s="70" t="n">
        <f aca="false">IFERROR(__xludf.dummyfunction("""COMPUTED_VALUE"""),95564)</f>
        <v>95564</v>
      </c>
      <c r="BA122" s="70" t="n">
        <f aca="false">IFERROR(__xludf.dummyfunction("""COMPUTED_VALUE"""),13602)</f>
        <v>13602</v>
      </c>
    </row>
    <row r="123" customFormat="false" ht="15.75" hidden="false" customHeight="false" outlineLevel="0" collapsed="false">
      <c r="A123" s="78" t="str">
        <f aca="false">IFERROR(__xludf.dummyfunction("""COMPUTED_VALUE"""),"formatted_street_address")</f>
        <v>formatted_street_address</v>
      </c>
      <c r="B123" s="72" t="n">
        <f aca="false">IFERROR(__xludf.dummyfunction("""COMPUTED_VALUE"""),123818152)</f>
        <v>123818152</v>
      </c>
      <c r="C123" s="82" t="n">
        <f aca="false">IFERROR(__xludf.dummyfunction("""COMPUTED_VALUE"""),2551704)</f>
        <v>2551704</v>
      </c>
      <c r="D123" s="83" t="n">
        <f aca="false">IFERROR(__xludf.dummyfunction("""COMPUTED_VALUE"""),280843)</f>
        <v>280843</v>
      </c>
      <c r="E123" s="84" t="n">
        <f aca="false">IFERROR(__xludf.dummyfunction("""COMPUTED_VALUE"""),2479925)</f>
        <v>2479925</v>
      </c>
      <c r="F123" s="84" t="n">
        <f aca="false">IFERROR(__xludf.dummyfunction("""COMPUTED_VALUE"""),1305710)</f>
        <v>1305710</v>
      </c>
      <c r="G123" s="84" t="n">
        <f aca="false">IFERROR(__xludf.dummyfunction("""COMPUTED_VALUE"""),10604786)</f>
        <v>10604786</v>
      </c>
      <c r="H123" s="84" t="n">
        <f aca="false">IFERROR(__xludf.dummyfunction("""COMPUTED_VALUE"""),2535367)</f>
        <v>2535367</v>
      </c>
      <c r="I123" s="84" t="n">
        <f aca="false">IFERROR(__xludf.dummyfunction("""COMPUTED_VALUE"""),1216614)</f>
        <v>1216614</v>
      </c>
      <c r="J123" s="84" t="n">
        <f aca="false">IFERROR(__xludf.dummyfunction("""COMPUTED_VALUE"""),528155)</f>
        <v>528155</v>
      </c>
      <c r="K123" s="84" t="n">
        <f aca="false">IFERROR(__xludf.dummyfunction("""COMPUTED_VALUE"""),175857)</f>
        <v>175857</v>
      </c>
      <c r="L123" s="84" t="n">
        <f aca="false">IFERROR(__xludf.dummyfunction("""COMPUTED_VALUE"""),8346497)</f>
        <v>8346497</v>
      </c>
      <c r="M123" s="84" t="n">
        <f aca="false">IFERROR(__xludf.dummyfunction("""COMPUTED_VALUE"""),4376881)</f>
        <v>4376881</v>
      </c>
      <c r="N123" s="84" t="n">
        <f aca="false">IFERROR(__xludf.dummyfunction("""COMPUTED_VALUE"""),652775)</f>
        <v>652775</v>
      </c>
      <c r="O123" s="84" t="n">
        <f aca="false">IFERROR(__xludf.dummyfunction("""COMPUTED_VALUE"""),834187)</f>
        <v>834187</v>
      </c>
      <c r="P123" s="84" t="n">
        <f aca="false">IFERROR(__xludf.dummyfunction("""COMPUTED_VALUE"""),4495652)</f>
        <v>4495652</v>
      </c>
      <c r="Q123" s="84" t="n">
        <f aca="false">IFERROR(__xludf.dummyfunction("""COMPUTED_VALUE"""),2410051)</f>
        <v>2410051</v>
      </c>
      <c r="R123" s="84" t="n">
        <f aca="false">IFERROR(__xludf.dummyfunction("""COMPUTED_VALUE"""),1666555)</f>
        <v>1666555</v>
      </c>
      <c r="S123" s="84" t="n">
        <f aca="false">IFERROR(__xludf.dummyfunction("""COMPUTED_VALUE"""),1118968)</f>
        <v>1118968</v>
      </c>
      <c r="T123" s="84" t="n">
        <f aca="false">IFERROR(__xludf.dummyfunction("""COMPUTED_VALUE"""),2032001)</f>
        <v>2032001</v>
      </c>
      <c r="U123" s="84" t="n">
        <f aca="false">IFERROR(__xludf.dummyfunction("""COMPUTED_VALUE"""),1852048)</f>
        <v>1852048</v>
      </c>
      <c r="V123" s="84" t="n">
        <f aca="false">IFERROR(__xludf.dummyfunction("""COMPUTED_VALUE"""),680285)</f>
        <v>680285</v>
      </c>
      <c r="W123" s="84" t="n">
        <f aca="false">IFERROR(__xludf.dummyfunction("""COMPUTED_VALUE"""),2230973)</f>
        <v>2230973</v>
      </c>
      <c r="X123" s="84" t="n">
        <f aca="false">IFERROR(__xludf.dummyfunction("""COMPUTED_VALUE"""),2264190)</f>
        <v>2264190</v>
      </c>
      <c r="Y123" s="84" t="n">
        <f aca="false">IFERROR(__xludf.dummyfunction("""COMPUTED_VALUE"""),4254315)</f>
        <v>4254315</v>
      </c>
      <c r="Z123" s="84" t="n">
        <f aca="false">IFERROR(__xludf.dummyfunction("""COMPUTED_VALUE"""),2356596)</f>
        <v>2356596</v>
      </c>
      <c r="AA123" s="84" t="n">
        <f aca="false">IFERROR(__xludf.dummyfunction("""COMPUTED_VALUE"""),1520997)</f>
        <v>1520997</v>
      </c>
      <c r="AB123" s="84" t="n">
        <f aca="false">IFERROR(__xludf.dummyfunction("""COMPUTED_VALUE"""),2771505)</f>
        <v>2771505</v>
      </c>
      <c r="AC123" s="84" t="n">
        <f aca="false">IFERROR(__xludf.dummyfunction("""COMPUTED_VALUE"""),478372)</f>
        <v>478372</v>
      </c>
      <c r="AD123" s="84" t="n">
        <f aca="false">IFERROR(__xludf.dummyfunction("""COMPUTED_VALUE"""),745123)</f>
        <v>745123</v>
      </c>
      <c r="AE123" s="84" t="n">
        <f aca="false">IFERROR(__xludf.dummyfunction("""COMPUTED_VALUE"""),1012978)</f>
        <v>1012978</v>
      </c>
      <c r="AF123" s="84" t="n">
        <f aca="false">IFERROR(__xludf.dummyfunction("""COMPUTED_VALUE"""),596161)</f>
        <v>596161</v>
      </c>
      <c r="AG123" s="84" t="n">
        <f aca="false">IFERROR(__xludf.dummyfunction("""COMPUTED_VALUE"""),2876120)</f>
        <v>2876120</v>
      </c>
      <c r="AH123" s="84" t="n">
        <f aca="false">IFERROR(__xludf.dummyfunction("""COMPUTED_VALUE"""),1117703)</f>
        <v>1117703</v>
      </c>
      <c r="AI123" s="84" t="n">
        <f aca="false">IFERROR(__xludf.dummyfunction("""COMPUTED_VALUE"""),5757918)</f>
        <v>5757918</v>
      </c>
      <c r="AJ123" s="84" t="n">
        <f aca="false">IFERROR(__xludf.dummyfunction("""COMPUTED_VALUE"""),4671467)</f>
        <v>4671467</v>
      </c>
      <c r="AK123" s="84" t="n">
        <f aca="false">IFERROR(__xludf.dummyfunction("""COMPUTED_VALUE"""),291043)</f>
        <v>291043</v>
      </c>
      <c r="AL123" s="84" t="n">
        <f aca="false">IFERROR(__xludf.dummyfunction("""COMPUTED_VALUE"""),4369893)</f>
        <v>4369893</v>
      </c>
      <c r="AM123" s="84" t="n">
        <f aca="false">IFERROR(__xludf.dummyfunction("""COMPUTED_VALUE"""),2131304)</f>
        <v>2131304</v>
      </c>
      <c r="AN123" s="84" t="n">
        <f aca="false">IFERROR(__xludf.dummyfunction("""COMPUTED_VALUE"""),1643496)</f>
        <v>1643496</v>
      </c>
      <c r="AO123" s="84" t="n">
        <f aca="false">IFERROR(__xludf.dummyfunction("""COMPUTED_VALUE"""),5021805)</f>
        <v>5021805</v>
      </c>
      <c r="AP123" s="84" t="n">
        <f aca="false">IFERROR(__xludf.dummyfunction("""COMPUTED_VALUE"""),364455)</f>
        <v>364455</v>
      </c>
      <c r="AQ123" s="84" t="n">
        <f aca="false">IFERROR(__xludf.dummyfunction("""COMPUTED_VALUE"""),2534164)</f>
        <v>2534164</v>
      </c>
      <c r="AR123" s="84" t="n">
        <f aca="false">IFERROR(__xludf.dummyfunction("""COMPUTED_VALUE"""),357516)</f>
        <v>357516</v>
      </c>
      <c r="AS123" s="84" t="n">
        <f aca="false">IFERROR(__xludf.dummyfunction("""COMPUTED_VALUE"""),3425464)</f>
        <v>3425464</v>
      </c>
      <c r="AT123" s="84" t="n">
        <f aca="false">IFERROR(__xludf.dummyfunction("""COMPUTED_VALUE"""),9763169)</f>
        <v>9763169</v>
      </c>
      <c r="AU123" s="84" t="n">
        <f aca="false">IFERROR(__xludf.dummyfunction("""COMPUTED_VALUE"""),1138884)</f>
        <v>1138884</v>
      </c>
      <c r="AV123" s="84" t="n">
        <f aca="false">IFERROR(__xludf.dummyfunction("""COMPUTED_VALUE"""),368680)</f>
        <v>368680</v>
      </c>
      <c r="AW123" s="84" t="n">
        <f aca="false">IFERROR(__xludf.dummyfunction("""COMPUTED_VALUE"""),3502867)</f>
        <v>3502867</v>
      </c>
      <c r="AX123" s="84" t="n">
        <f aca="false">IFERROR(__xludf.dummyfunction("""COMPUTED_VALUE"""),2231411)</f>
        <v>2231411</v>
      </c>
      <c r="AY123" s="84" t="n">
        <f aca="false">IFERROR(__xludf.dummyfunction("""COMPUTED_VALUE"""),1074441)</f>
        <v>1074441</v>
      </c>
      <c r="AZ123" s="84" t="n">
        <f aca="false">IFERROR(__xludf.dummyfunction("""COMPUTED_VALUE"""),2516788)</f>
        <v>2516788</v>
      </c>
      <c r="BA123" s="84" t="n">
        <f aca="false">IFERROR(__xludf.dummyfunction("""COMPUTED_VALUE"""),266334)</f>
        <v>266334</v>
      </c>
    </row>
    <row r="124" customFormat="false" ht="15.75" hidden="false" customHeight="false" outlineLevel="0" collapsed="false">
      <c r="A124" s="78" t="str">
        <f aca="false">IFERROR(__xludf.dummyfunction("""COMPUTED_VALUE"""),"city")</f>
        <v>city</v>
      </c>
      <c r="B124" s="72" t="n">
        <f aca="false">IFERROR(__xludf.dummyfunction("""COMPUTED_VALUE"""),123663120)</f>
        <v>123663120</v>
      </c>
      <c r="C124" s="82" t="n">
        <f aca="false">IFERROR(__xludf.dummyfunction("""COMPUTED_VALUE"""),2555617)</f>
        <v>2555617</v>
      </c>
      <c r="D124" s="83" t="n">
        <f aca="false">IFERROR(__xludf.dummyfunction("""COMPUTED_VALUE"""),280194)</f>
        <v>280194</v>
      </c>
      <c r="E124" s="84" t="n">
        <f aca="false">IFERROR(__xludf.dummyfunction("""COMPUTED_VALUE"""),2452480)</f>
        <v>2452480</v>
      </c>
      <c r="F124" s="84" t="n">
        <f aca="false">IFERROR(__xludf.dummyfunction("""COMPUTED_VALUE"""),1308366)</f>
        <v>1308366</v>
      </c>
      <c r="G124" s="84" t="n">
        <f aca="false">IFERROR(__xludf.dummyfunction("""COMPUTED_VALUE"""),10594090)</f>
        <v>10594090</v>
      </c>
      <c r="H124" s="84" t="n">
        <f aca="false">IFERROR(__xludf.dummyfunction("""COMPUTED_VALUE"""),2536146)</f>
        <v>2536146</v>
      </c>
      <c r="I124" s="84" t="n">
        <f aca="false">IFERROR(__xludf.dummyfunction("""COMPUTED_VALUE"""),1216506)</f>
        <v>1216506</v>
      </c>
      <c r="J124" s="84" t="n">
        <f aca="false">IFERROR(__xludf.dummyfunction("""COMPUTED_VALUE"""),527956)</f>
        <v>527956</v>
      </c>
      <c r="K124" s="84" t="n">
        <f aca="false">IFERROR(__xludf.dummyfunction("""COMPUTED_VALUE"""),175707)</f>
        <v>175707</v>
      </c>
      <c r="L124" s="84" t="n">
        <f aca="false">IFERROR(__xludf.dummyfunction("""COMPUTED_VALUE"""),8248519)</f>
        <v>8248519</v>
      </c>
      <c r="M124" s="84" t="n">
        <f aca="false">IFERROR(__xludf.dummyfunction("""COMPUTED_VALUE"""),4375434)</f>
        <v>4375434</v>
      </c>
      <c r="N124" s="84" t="n">
        <f aca="false">IFERROR(__xludf.dummyfunction("""COMPUTED_VALUE"""),654369)</f>
        <v>654369</v>
      </c>
      <c r="O124" s="84" t="n">
        <f aca="false">IFERROR(__xludf.dummyfunction("""COMPUTED_VALUE"""),833696)</f>
        <v>833696</v>
      </c>
      <c r="P124" s="84" t="n">
        <f aca="false">IFERROR(__xludf.dummyfunction("""COMPUTED_VALUE"""),4492726)</f>
        <v>4492726</v>
      </c>
      <c r="Q124" s="84" t="n">
        <f aca="false">IFERROR(__xludf.dummyfunction("""COMPUTED_VALUE"""),2413446)</f>
        <v>2413446</v>
      </c>
      <c r="R124" s="84" t="n">
        <f aca="false">IFERROR(__xludf.dummyfunction("""COMPUTED_VALUE"""),1668626)</f>
        <v>1668626</v>
      </c>
      <c r="S124" s="84" t="n">
        <f aca="false">IFERROR(__xludf.dummyfunction("""COMPUTED_VALUE"""),1113458)</f>
        <v>1113458</v>
      </c>
      <c r="T124" s="84" t="n">
        <f aca="false">IFERROR(__xludf.dummyfunction("""COMPUTED_VALUE"""),2031795)</f>
        <v>2031795</v>
      </c>
      <c r="U124" s="84" t="n">
        <f aca="false">IFERROR(__xludf.dummyfunction("""COMPUTED_VALUE"""),1854115)</f>
        <v>1854115</v>
      </c>
      <c r="V124" s="84" t="n">
        <f aca="false">IFERROR(__xludf.dummyfunction("""COMPUTED_VALUE"""),679833)</f>
        <v>679833</v>
      </c>
      <c r="W124" s="84" t="n">
        <f aca="false">IFERROR(__xludf.dummyfunction("""COMPUTED_VALUE"""),2229685)</f>
        <v>2229685</v>
      </c>
      <c r="X124" s="84" t="n">
        <f aca="false">IFERROR(__xludf.dummyfunction("""COMPUTED_VALUE"""),2263590)</f>
        <v>2263590</v>
      </c>
      <c r="Y124" s="84" t="n">
        <f aca="false">IFERROR(__xludf.dummyfunction("""COMPUTED_VALUE"""),4253160)</f>
        <v>4253160</v>
      </c>
      <c r="Z124" s="84" t="n">
        <f aca="false">IFERROR(__xludf.dummyfunction("""COMPUTED_VALUE"""),2357339)</f>
        <v>2357339</v>
      </c>
      <c r="AA124" s="84" t="n">
        <f aca="false">IFERROR(__xludf.dummyfunction("""COMPUTED_VALUE"""),1517694)</f>
        <v>1517694</v>
      </c>
      <c r="AB124" s="84" t="n">
        <f aca="false">IFERROR(__xludf.dummyfunction("""COMPUTED_VALUE"""),2774481)</f>
        <v>2774481</v>
      </c>
      <c r="AC124" s="84" t="n">
        <f aca="false">IFERROR(__xludf.dummyfunction("""COMPUTED_VALUE"""),477560)</f>
        <v>477560</v>
      </c>
      <c r="AD124" s="84" t="n">
        <f aca="false">IFERROR(__xludf.dummyfunction("""COMPUTED_VALUE"""),745390)</f>
        <v>745390</v>
      </c>
      <c r="AE124" s="84" t="n">
        <f aca="false">IFERROR(__xludf.dummyfunction("""COMPUTED_VALUE"""),1008834)</f>
        <v>1008834</v>
      </c>
      <c r="AF124" s="84" t="n">
        <f aca="false">IFERROR(__xludf.dummyfunction("""COMPUTED_VALUE"""),596046)</f>
        <v>596046</v>
      </c>
      <c r="AG124" s="84" t="n">
        <f aca="false">IFERROR(__xludf.dummyfunction("""COMPUTED_VALUE"""),2876268)</f>
        <v>2876268</v>
      </c>
      <c r="AH124" s="84" t="n">
        <f aca="false">IFERROR(__xludf.dummyfunction("""COMPUTED_VALUE"""),1121518)</f>
        <v>1121518</v>
      </c>
      <c r="AI124" s="84" t="n">
        <f aca="false">IFERROR(__xludf.dummyfunction("""COMPUTED_VALUE"""),5758336)</f>
        <v>5758336</v>
      </c>
      <c r="AJ124" s="84" t="n">
        <f aca="false">IFERROR(__xludf.dummyfunction("""COMPUTED_VALUE"""),4672425)</f>
        <v>4672425</v>
      </c>
      <c r="AK124" s="84" t="n">
        <f aca="false">IFERROR(__xludf.dummyfunction("""COMPUTED_VALUE"""),292931)</f>
        <v>292931</v>
      </c>
      <c r="AL124" s="84" t="n">
        <f aca="false">IFERROR(__xludf.dummyfunction("""COMPUTED_VALUE"""),4367896)</f>
        <v>4367896</v>
      </c>
      <c r="AM124" s="84" t="n">
        <f aca="false">IFERROR(__xludf.dummyfunction("""COMPUTED_VALUE"""),2132575)</f>
        <v>2132575</v>
      </c>
      <c r="AN124" s="84" t="n">
        <f aca="false">IFERROR(__xludf.dummyfunction("""COMPUTED_VALUE"""),1646371)</f>
        <v>1646371</v>
      </c>
      <c r="AO124" s="84" t="n">
        <f aca="false">IFERROR(__xludf.dummyfunction("""COMPUTED_VALUE"""),5018951)</f>
        <v>5018951</v>
      </c>
      <c r="AP124" s="84" t="n">
        <f aca="false">IFERROR(__xludf.dummyfunction("""COMPUTED_VALUE"""),364367)</f>
        <v>364367</v>
      </c>
      <c r="AQ124" s="84" t="n">
        <f aca="false">IFERROR(__xludf.dummyfunction("""COMPUTED_VALUE"""),2528542)</f>
        <v>2528542</v>
      </c>
      <c r="AR124" s="84" t="n">
        <f aca="false">IFERROR(__xludf.dummyfunction("""COMPUTED_VALUE"""),358871)</f>
        <v>358871</v>
      </c>
      <c r="AS124" s="84" t="n">
        <f aca="false">IFERROR(__xludf.dummyfunction("""COMPUTED_VALUE"""),3424172)</f>
        <v>3424172</v>
      </c>
      <c r="AT124" s="84" t="n">
        <f aca="false">IFERROR(__xludf.dummyfunction("""COMPUTED_VALUE"""),9761341)</f>
        <v>9761341</v>
      </c>
      <c r="AU124" s="84" t="n">
        <f aca="false">IFERROR(__xludf.dummyfunction("""COMPUTED_VALUE"""),1138509)</f>
        <v>1138509</v>
      </c>
      <c r="AV124" s="84" t="n">
        <f aca="false">IFERROR(__xludf.dummyfunction("""COMPUTED_VALUE"""),367519)</f>
        <v>367519</v>
      </c>
      <c r="AW124" s="84" t="n">
        <f aca="false">IFERROR(__xludf.dummyfunction("""COMPUTED_VALUE"""),3502258)</f>
        <v>3502258</v>
      </c>
      <c r="AX124" s="84" t="n">
        <f aca="false">IFERROR(__xludf.dummyfunction("""COMPUTED_VALUE"""),2219565)</f>
        <v>2219565</v>
      </c>
      <c r="AY124" s="84" t="n">
        <f aca="false">IFERROR(__xludf.dummyfunction("""COMPUTED_VALUE"""),1073434)</f>
        <v>1073434</v>
      </c>
      <c r="AZ124" s="84" t="n">
        <f aca="false">IFERROR(__xludf.dummyfunction("""COMPUTED_VALUE"""),2516939)</f>
        <v>2516939</v>
      </c>
      <c r="BA124" s="84" t="n">
        <f aca="false">IFERROR(__xludf.dummyfunction("""COMPUTED_VALUE"""),266376)</f>
        <v>266376</v>
      </c>
    </row>
    <row r="125" customFormat="false" ht="15.75" hidden="false" customHeight="false" outlineLevel="0" collapsed="false">
      <c r="A125" s="78" t="str">
        <f aca="false">IFERROR(__xludf.dummyfunction("""COMPUTED_VALUE"""),"state")</f>
        <v>state</v>
      </c>
      <c r="B125" s="72" t="n">
        <f aca="false">IFERROR(__xludf.dummyfunction("""COMPUTED_VALUE"""),123656576)</f>
        <v>123656576</v>
      </c>
      <c r="C125" s="82" t="n">
        <f aca="false">IFERROR(__xludf.dummyfunction("""COMPUTED_VALUE"""),2555666)</f>
        <v>2555666</v>
      </c>
      <c r="D125" s="83" t="n">
        <f aca="false">IFERROR(__xludf.dummyfunction("""COMPUTED_VALUE"""),281099)</f>
        <v>281099</v>
      </c>
      <c r="E125" s="84" t="n">
        <f aca="false">IFERROR(__xludf.dummyfunction("""COMPUTED_VALUE"""),2451926)</f>
        <v>2451926</v>
      </c>
      <c r="F125" s="84" t="n">
        <f aca="false">IFERROR(__xludf.dummyfunction("""COMPUTED_VALUE"""),1303593)</f>
        <v>1303593</v>
      </c>
      <c r="G125" s="84" t="n">
        <f aca="false">IFERROR(__xludf.dummyfunction("""COMPUTED_VALUE"""),10592863)</f>
        <v>10592863</v>
      </c>
      <c r="H125" s="84" t="n">
        <f aca="false">IFERROR(__xludf.dummyfunction("""COMPUTED_VALUE"""),2536121)</f>
        <v>2536121</v>
      </c>
      <c r="I125" s="84" t="n">
        <f aca="false">IFERROR(__xludf.dummyfunction("""COMPUTED_VALUE"""),1216527)</f>
        <v>1216527</v>
      </c>
      <c r="J125" s="84" t="n">
        <f aca="false">IFERROR(__xludf.dummyfunction("""COMPUTED_VALUE"""),527920)</f>
        <v>527920</v>
      </c>
      <c r="K125" s="84" t="n">
        <f aca="false">IFERROR(__xludf.dummyfunction("""COMPUTED_VALUE"""),175683)</f>
        <v>175683</v>
      </c>
      <c r="L125" s="84" t="n">
        <f aca="false">IFERROR(__xludf.dummyfunction("""COMPUTED_VALUE"""),8238453)</f>
        <v>8238453</v>
      </c>
      <c r="M125" s="84" t="n">
        <f aca="false">IFERROR(__xludf.dummyfunction("""COMPUTED_VALUE"""),4376430)</f>
        <v>4376430</v>
      </c>
      <c r="N125" s="84" t="n">
        <f aca="false">IFERROR(__xludf.dummyfunction("""COMPUTED_VALUE"""),653888)</f>
        <v>653888</v>
      </c>
      <c r="O125" s="84" t="n">
        <f aca="false">IFERROR(__xludf.dummyfunction("""COMPUTED_VALUE"""),833758)</f>
        <v>833758</v>
      </c>
      <c r="P125" s="84" t="n">
        <f aca="false">IFERROR(__xludf.dummyfunction("""COMPUTED_VALUE"""),4492694)</f>
        <v>4492694</v>
      </c>
      <c r="Q125" s="84" t="n">
        <f aca="false">IFERROR(__xludf.dummyfunction("""COMPUTED_VALUE"""),2413300)</f>
        <v>2413300</v>
      </c>
      <c r="R125" s="84" t="n">
        <f aca="false">IFERROR(__xludf.dummyfunction("""COMPUTED_VALUE"""),1668860)</f>
        <v>1668860</v>
      </c>
      <c r="S125" s="84" t="n">
        <f aca="false">IFERROR(__xludf.dummyfunction("""COMPUTED_VALUE"""),1113405)</f>
        <v>1113405</v>
      </c>
      <c r="T125" s="84" t="n">
        <f aca="false">IFERROR(__xludf.dummyfunction("""COMPUTED_VALUE"""),2033630)</f>
        <v>2033630</v>
      </c>
      <c r="U125" s="84" t="n">
        <f aca="false">IFERROR(__xludf.dummyfunction("""COMPUTED_VALUE"""),1854211)</f>
        <v>1854211</v>
      </c>
      <c r="V125" s="84" t="n">
        <f aca="false">IFERROR(__xludf.dummyfunction("""COMPUTED_VALUE"""),680552)</f>
        <v>680552</v>
      </c>
      <c r="W125" s="84" t="n">
        <f aca="false">IFERROR(__xludf.dummyfunction("""COMPUTED_VALUE"""),2229567)</f>
        <v>2229567</v>
      </c>
      <c r="X125" s="84" t="n">
        <f aca="false">IFERROR(__xludf.dummyfunction("""COMPUTED_VALUE"""),2263681)</f>
        <v>2263681</v>
      </c>
      <c r="Y125" s="84" t="n">
        <f aca="false">IFERROR(__xludf.dummyfunction("""COMPUTED_VALUE"""),4253322)</f>
        <v>4253322</v>
      </c>
      <c r="Z125" s="84" t="n">
        <f aca="false">IFERROR(__xludf.dummyfunction("""COMPUTED_VALUE"""),2357404)</f>
        <v>2357404</v>
      </c>
      <c r="AA125" s="84" t="n">
        <f aca="false">IFERROR(__xludf.dummyfunction("""COMPUTED_VALUE"""),1518567)</f>
        <v>1518567</v>
      </c>
      <c r="AB125" s="84" t="n">
        <f aca="false">IFERROR(__xludf.dummyfunction("""COMPUTED_VALUE"""),2774544)</f>
        <v>2774544</v>
      </c>
      <c r="AC125" s="84" t="n">
        <f aca="false">IFERROR(__xludf.dummyfunction("""COMPUTED_VALUE"""),477605)</f>
        <v>477605</v>
      </c>
      <c r="AD125" s="84" t="n">
        <f aca="false">IFERROR(__xludf.dummyfunction("""COMPUTED_VALUE"""),745354)</f>
        <v>745354</v>
      </c>
      <c r="AE125" s="84" t="n">
        <f aca="false">IFERROR(__xludf.dummyfunction("""COMPUTED_VALUE"""),1009174)</f>
        <v>1009174</v>
      </c>
      <c r="AF125" s="84" t="n">
        <f aca="false">IFERROR(__xludf.dummyfunction("""COMPUTED_VALUE"""),596094)</f>
        <v>596094</v>
      </c>
      <c r="AG125" s="84" t="n">
        <f aca="false">IFERROR(__xludf.dummyfunction("""COMPUTED_VALUE"""),2876108)</f>
        <v>2876108</v>
      </c>
      <c r="AH125" s="84" t="n">
        <f aca="false">IFERROR(__xludf.dummyfunction("""COMPUTED_VALUE"""),1121446)</f>
        <v>1121446</v>
      </c>
      <c r="AI125" s="84" t="n">
        <f aca="false">IFERROR(__xludf.dummyfunction("""COMPUTED_VALUE"""),5757211)</f>
        <v>5757211</v>
      </c>
      <c r="AJ125" s="84" t="n">
        <f aca="false">IFERROR(__xludf.dummyfunction("""COMPUTED_VALUE"""),4672850)</f>
        <v>4672850</v>
      </c>
      <c r="AK125" s="84" t="n">
        <f aca="false">IFERROR(__xludf.dummyfunction("""COMPUTED_VALUE"""),292933)</f>
        <v>292933</v>
      </c>
      <c r="AL125" s="84" t="n">
        <f aca="false">IFERROR(__xludf.dummyfunction("""COMPUTED_VALUE"""),4367736)</f>
        <v>4367736</v>
      </c>
      <c r="AM125" s="84" t="n">
        <f aca="false">IFERROR(__xludf.dummyfunction("""COMPUTED_VALUE"""),2132899)</f>
        <v>2132899</v>
      </c>
      <c r="AN125" s="84" t="n">
        <f aca="false">IFERROR(__xludf.dummyfunction("""COMPUTED_VALUE"""),1648664)</f>
        <v>1648664</v>
      </c>
      <c r="AO125" s="84" t="n">
        <f aca="false">IFERROR(__xludf.dummyfunction("""COMPUTED_VALUE"""),5019591)</f>
        <v>5019591</v>
      </c>
      <c r="AP125" s="84" t="n">
        <f aca="false">IFERROR(__xludf.dummyfunction("""COMPUTED_VALUE"""),364420)</f>
        <v>364420</v>
      </c>
      <c r="AQ125" s="84" t="n">
        <f aca="false">IFERROR(__xludf.dummyfunction("""COMPUTED_VALUE"""),2528416)</f>
        <v>2528416</v>
      </c>
      <c r="AR125" s="84" t="n">
        <f aca="false">IFERROR(__xludf.dummyfunction("""COMPUTED_VALUE"""),358862)</f>
        <v>358862</v>
      </c>
      <c r="AS125" s="84" t="n">
        <f aca="false">IFERROR(__xludf.dummyfunction("""COMPUTED_VALUE"""),3424510)</f>
        <v>3424510</v>
      </c>
      <c r="AT125" s="84" t="n">
        <f aca="false">IFERROR(__xludf.dummyfunction("""COMPUTED_VALUE"""),9761847)</f>
        <v>9761847</v>
      </c>
      <c r="AU125" s="84" t="n">
        <f aca="false">IFERROR(__xludf.dummyfunction("""COMPUTED_VALUE"""),1138553)</f>
        <v>1138553</v>
      </c>
      <c r="AV125" s="84" t="n">
        <f aca="false">IFERROR(__xludf.dummyfunction("""COMPUTED_VALUE"""),367412)</f>
        <v>367412</v>
      </c>
      <c r="AW125" s="84" t="n">
        <f aca="false">IFERROR(__xludf.dummyfunction("""COMPUTED_VALUE"""),3502270)</f>
        <v>3502270</v>
      </c>
      <c r="AX125" s="84" t="n">
        <f aca="false">IFERROR(__xludf.dummyfunction("""COMPUTED_VALUE"""),2220384)</f>
        <v>2220384</v>
      </c>
      <c r="AY125" s="84" t="n">
        <f aca="false">IFERROR(__xludf.dummyfunction("""COMPUTED_VALUE"""),1073720)</f>
        <v>1073720</v>
      </c>
      <c r="AZ125" s="84" t="n">
        <f aca="false">IFERROR(__xludf.dummyfunction("""COMPUTED_VALUE"""),2517407)</f>
        <v>2517407</v>
      </c>
      <c r="BA125" s="84" t="n">
        <f aca="false">IFERROR(__xludf.dummyfunction("""COMPUTED_VALUE"""),266348)</f>
        <v>266348</v>
      </c>
    </row>
    <row r="126" customFormat="false" ht="15.75" hidden="false" customHeight="false" outlineLevel="0" collapsed="false">
      <c r="A126" s="78" t="str">
        <f aca="false">IFERROR(__xludf.dummyfunction("""COMPUTED_VALUE"""),"zip_code")</f>
        <v>zip_code</v>
      </c>
      <c r="B126" s="72" t="n">
        <f aca="false">IFERROR(__xludf.dummyfunction("""COMPUTED_VALUE"""),123582031)</f>
        <v>123582031</v>
      </c>
      <c r="C126" s="82" t="n">
        <f aca="false">IFERROR(__xludf.dummyfunction("""COMPUTED_VALUE"""),2555396)</f>
        <v>2555396</v>
      </c>
      <c r="D126" s="83" t="n">
        <f aca="false">IFERROR(__xludf.dummyfunction("""COMPUTED_VALUE"""),280206)</f>
        <v>280206</v>
      </c>
      <c r="E126" s="84" t="n">
        <f aca="false">IFERROR(__xludf.dummyfunction("""COMPUTED_VALUE"""),2451854)</f>
        <v>2451854</v>
      </c>
      <c r="F126" s="84" t="n">
        <f aca="false">IFERROR(__xludf.dummyfunction("""COMPUTED_VALUE"""),1303244)</f>
        <v>1303244</v>
      </c>
      <c r="G126" s="84" t="n">
        <f aca="false">IFERROR(__xludf.dummyfunction("""COMPUTED_VALUE"""),10591736)</f>
        <v>10591736</v>
      </c>
      <c r="H126" s="84" t="n">
        <f aca="false">IFERROR(__xludf.dummyfunction("""COMPUTED_VALUE"""),2535874)</f>
        <v>2535874</v>
      </c>
      <c r="I126" s="84" t="n">
        <f aca="false">IFERROR(__xludf.dummyfunction("""COMPUTED_VALUE"""),1213083)</f>
        <v>1213083</v>
      </c>
      <c r="J126" s="84" t="n">
        <f aca="false">IFERROR(__xludf.dummyfunction("""COMPUTED_VALUE"""),527788)</f>
        <v>527788</v>
      </c>
      <c r="K126" s="84" t="n">
        <f aca="false">IFERROR(__xludf.dummyfunction("""COMPUTED_VALUE"""),175678)</f>
        <v>175678</v>
      </c>
      <c r="L126" s="84" t="n">
        <f aca="false">IFERROR(__xludf.dummyfunction("""COMPUTED_VALUE"""),8235038)</f>
        <v>8235038</v>
      </c>
      <c r="M126" s="84" t="n">
        <f aca="false">IFERROR(__xludf.dummyfunction("""COMPUTED_VALUE"""),4374836)</f>
        <v>4374836</v>
      </c>
      <c r="N126" s="84" t="n">
        <f aca="false">IFERROR(__xludf.dummyfunction("""COMPUTED_VALUE"""),653613)</f>
        <v>653613</v>
      </c>
      <c r="O126" s="84" t="n">
        <f aca="false">IFERROR(__xludf.dummyfunction("""COMPUTED_VALUE"""),833650)</f>
        <v>833650</v>
      </c>
      <c r="P126" s="84" t="n">
        <f aca="false">IFERROR(__xludf.dummyfunction("""COMPUTED_VALUE"""),4489177)</f>
        <v>4489177</v>
      </c>
      <c r="Q126" s="84" t="n">
        <f aca="false">IFERROR(__xludf.dummyfunction("""COMPUTED_VALUE"""),2413150)</f>
        <v>2413150</v>
      </c>
      <c r="R126" s="84" t="n">
        <f aca="false">IFERROR(__xludf.dummyfunction("""COMPUTED_VALUE"""),1668351)</f>
        <v>1668351</v>
      </c>
      <c r="S126" s="84" t="n">
        <f aca="false">IFERROR(__xludf.dummyfunction("""COMPUTED_VALUE"""),1113259)</f>
        <v>1113259</v>
      </c>
      <c r="T126" s="84" t="n">
        <f aca="false">IFERROR(__xludf.dummyfunction("""COMPUTED_VALUE"""),2031234)</f>
        <v>2031234</v>
      </c>
      <c r="U126" s="84" t="n">
        <f aca="false">IFERROR(__xludf.dummyfunction("""COMPUTED_VALUE"""),1853932)</f>
        <v>1853932</v>
      </c>
      <c r="V126" s="84" t="n">
        <f aca="false">IFERROR(__xludf.dummyfunction("""COMPUTED_VALUE"""),677731)</f>
        <v>677731</v>
      </c>
      <c r="W126" s="84" t="n">
        <f aca="false">IFERROR(__xludf.dummyfunction("""COMPUTED_VALUE"""),2232159)</f>
        <v>2232159</v>
      </c>
      <c r="X126" s="84" t="n">
        <f aca="false">IFERROR(__xludf.dummyfunction("""COMPUTED_VALUE"""),2254155)</f>
        <v>2254155</v>
      </c>
      <c r="Y126" s="84" t="n">
        <f aca="false">IFERROR(__xludf.dummyfunction("""COMPUTED_VALUE"""),4252526)</f>
        <v>4252526</v>
      </c>
      <c r="Z126" s="84" t="n">
        <f aca="false">IFERROR(__xludf.dummyfunction("""COMPUTED_VALUE"""),2356656)</f>
        <v>2356656</v>
      </c>
      <c r="AA126" s="84" t="n">
        <f aca="false">IFERROR(__xludf.dummyfunction("""COMPUTED_VALUE"""),1517245)</f>
        <v>1517245</v>
      </c>
      <c r="AB126" s="84" t="n">
        <f aca="false">IFERROR(__xludf.dummyfunction("""COMPUTED_VALUE"""),2773769)</f>
        <v>2773769</v>
      </c>
      <c r="AC126" s="84" t="n">
        <f aca="false">IFERROR(__xludf.dummyfunction("""COMPUTED_VALUE"""),477580)</f>
        <v>477580</v>
      </c>
      <c r="AD126" s="84" t="n">
        <f aca="false">IFERROR(__xludf.dummyfunction("""COMPUTED_VALUE"""),745802)</f>
        <v>745802</v>
      </c>
      <c r="AE126" s="84" t="n">
        <f aca="false">IFERROR(__xludf.dummyfunction("""COMPUTED_VALUE"""),1008262)</f>
        <v>1008262</v>
      </c>
      <c r="AF126" s="84" t="n">
        <f aca="false">IFERROR(__xludf.dummyfunction("""COMPUTED_VALUE"""),593439)</f>
        <v>593439</v>
      </c>
      <c r="AG126" s="84" t="n">
        <f aca="false">IFERROR(__xludf.dummyfunction("""COMPUTED_VALUE"""),2859466)</f>
        <v>2859466</v>
      </c>
      <c r="AH126" s="84" t="n">
        <f aca="false">IFERROR(__xludf.dummyfunction("""COMPUTED_VALUE"""),1121299)</f>
        <v>1121299</v>
      </c>
      <c r="AI126" s="84" t="n">
        <f aca="false">IFERROR(__xludf.dummyfunction("""COMPUTED_VALUE"""),5749057)</f>
        <v>5749057</v>
      </c>
      <c r="AJ126" s="84" t="n">
        <f aca="false">IFERROR(__xludf.dummyfunction("""COMPUTED_VALUE"""),4671642)</f>
        <v>4671642</v>
      </c>
      <c r="AK126" s="84" t="n">
        <f aca="false">IFERROR(__xludf.dummyfunction("""COMPUTED_VALUE"""),292800)</f>
        <v>292800</v>
      </c>
      <c r="AL126" s="84" t="n">
        <f aca="false">IFERROR(__xludf.dummyfunction("""COMPUTED_VALUE"""),4366662)</f>
        <v>4366662</v>
      </c>
      <c r="AM126" s="84" t="n">
        <f aca="false">IFERROR(__xludf.dummyfunction("""COMPUTED_VALUE"""),2134288)</f>
        <v>2134288</v>
      </c>
      <c r="AN126" s="84" t="n">
        <f aca="false">IFERROR(__xludf.dummyfunction("""COMPUTED_VALUE"""),1646352)</f>
        <v>1646352</v>
      </c>
      <c r="AO126" s="84" t="n">
        <f aca="false">IFERROR(__xludf.dummyfunction("""COMPUTED_VALUE"""),5018125)</f>
        <v>5018125</v>
      </c>
      <c r="AP126" s="84" t="n">
        <f aca="false">IFERROR(__xludf.dummyfunction("""COMPUTED_VALUE"""),363042)</f>
        <v>363042</v>
      </c>
      <c r="AQ126" s="84" t="n">
        <f aca="false">IFERROR(__xludf.dummyfunction("""COMPUTED_VALUE"""),2528058)</f>
        <v>2528058</v>
      </c>
      <c r="AR126" s="84" t="n">
        <f aca="false">IFERROR(__xludf.dummyfunction("""COMPUTED_VALUE"""),358757)</f>
        <v>358757</v>
      </c>
      <c r="AS126" s="84" t="n">
        <f aca="false">IFERROR(__xludf.dummyfunction("""COMPUTED_VALUE"""),3423870)</f>
        <v>3423870</v>
      </c>
      <c r="AT126" s="84" t="n">
        <f aca="false">IFERROR(__xludf.dummyfunction("""COMPUTED_VALUE"""),9759199)</f>
        <v>9759199</v>
      </c>
      <c r="AU126" s="84" t="n">
        <f aca="false">IFERROR(__xludf.dummyfunction("""COMPUTED_VALUE"""),1138520)</f>
        <v>1138520</v>
      </c>
      <c r="AV126" s="84" t="n">
        <f aca="false">IFERROR(__xludf.dummyfunction("""COMPUTED_VALUE"""),365119)</f>
        <v>365119</v>
      </c>
      <c r="AW126" s="84" t="n">
        <f aca="false">IFERROR(__xludf.dummyfunction("""COMPUTED_VALUE"""),3501889)</f>
        <v>3501889</v>
      </c>
      <c r="AX126" s="84" t="n">
        <f aca="false">IFERROR(__xludf.dummyfunction("""COMPUTED_VALUE"""),2219311)</f>
        <v>2219311</v>
      </c>
      <c r="AY126" s="84" t="n">
        <f aca="false">IFERROR(__xludf.dummyfunction("""COMPUTED_VALUE"""),1073384)</f>
        <v>1073384</v>
      </c>
      <c r="AZ126" s="84" t="n">
        <f aca="false">IFERROR(__xludf.dummyfunction("""COMPUTED_VALUE"""),2517561)</f>
        <v>2517561</v>
      </c>
      <c r="BA126" s="84" t="n">
        <f aca="false">IFERROR(__xludf.dummyfunction("""COMPUTED_VALUE"""),266125)</f>
        <v>266125</v>
      </c>
    </row>
    <row r="127" customFormat="false" ht="15.75" hidden="false" customHeight="false" outlineLevel="0" collapsed="false">
      <c r="A127" s="78" t="str">
        <f aca="false">IFERROR(__xludf.dummyfunction("""COMPUTED_VALUE"""),"zip_plus_four_code")</f>
        <v>zip_plus_four_code</v>
      </c>
      <c r="B127" s="72" t="n">
        <f aca="false">IFERROR(__xludf.dummyfunction("""COMPUTED_VALUE"""),120065018)</f>
        <v>120065018</v>
      </c>
      <c r="C127" s="82" t="n">
        <f aca="false">IFERROR(__xludf.dummyfunction("""COMPUTED_VALUE"""),2462200)</f>
        <v>2462200</v>
      </c>
      <c r="D127" s="83" t="n">
        <f aca="false">IFERROR(__xludf.dummyfunction("""COMPUTED_VALUE"""),273585)</f>
        <v>273585</v>
      </c>
      <c r="E127" s="84" t="n">
        <f aca="false">IFERROR(__xludf.dummyfunction("""COMPUTED_VALUE"""),2390324)</f>
        <v>2390324</v>
      </c>
      <c r="F127" s="84" t="n">
        <f aca="false">IFERROR(__xludf.dummyfunction("""COMPUTED_VALUE"""),1251981)</f>
        <v>1251981</v>
      </c>
      <c r="G127" s="84" t="n">
        <f aca="false">IFERROR(__xludf.dummyfunction("""COMPUTED_VALUE"""),10391031)</f>
        <v>10391031</v>
      </c>
      <c r="H127" s="84" t="n">
        <f aca="false">IFERROR(__xludf.dummyfunction("""COMPUTED_VALUE"""),2484686)</f>
        <v>2484686</v>
      </c>
      <c r="I127" s="84" t="n">
        <f aca="false">IFERROR(__xludf.dummyfunction("""COMPUTED_VALUE"""),1192092)</f>
        <v>1192092</v>
      </c>
      <c r="J127" s="84" t="n">
        <f aca="false">IFERROR(__xludf.dummyfunction("""COMPUTED_VALUE"""),512472)</f>
        <v>512472</v>
      </c>
      <c r="K127" s="84" t="n">
        <f aca="false">IFERROR(__xludf.dummyfunction("""COMPUTED_VALUE"""),174037)</f>
        <v>174037</v>
      </c>
      <c r="L127" s="84" t="n">
        <f aca="false">IFERROR(__xludf.dummyfunction("""COMPUTED_VALUE"""),8041834)</f>
        <v>8041834</v>
      </c>
      <c r="M127" s="84" t="n">
        <f aca="false">IFERROR(__xludf.dummyfunction("""COMPUTED_VALUE"""),4222326)</f>
        <v>4222326</v>
      </c>
      <c r="N127" s="84" t="n">
        <f aca="false">IFERROR(__xludf.dummyfunction("""COMPUTED_VALUE"""),620297)</f>
        <v>620297</v>
      </c>
      <c r="O127" s="84" t="n">
        <f aca="false">IFERROR(__xludf.dummyfunction("""COMPUTED_VALUE"""),814961)</f>
        <v>814961</v>
      </c>
      <c r="P127" s="84" t="n">
        <f aca="false">IFERROR(__xludf.dummyfunction("""COMPUTED_VALUE"""),4347274)</f>
        <v>4347274</v>
      </c>
      <c r="Q127" s="84" t="n">
        <f aca="false">IFERROR(__xludf.dummyfunction("""COMPUTED_VALUE"""),2339569)</f>
        <v>2339569</v>
      </c>
      <c r="R127" s="84" t="n">
        <f aca="false">IFERROR(__xludf.dummyfunction("""COMPUTED_VALUE"""),1635036)</f>
        <v>1635036</v>
      </c>
      <c r="S127" s="84" t="n">
        <f aca="false">IFERROR(__xludf.dummyfunction("""COMPUTED_VALUE"""),1089276)</f>
        <v>1089276</v>
      </c>
      <c r="T127" s="84" t="n">
        <f aca="false">IFERROR(__xludf.dummyfunction("""COMPUTED_VALUE"""),1949409)</f>
        <v>1949409</v>
      </c>
      <c r="U127" s="84" t="n">
        <f aca="false">IFERROR(__xludf.dummyfunction("""COMPUTED_VALUE"""),1793058)</f>
        <v>1793058</v>
      </c>
      <c r="V127" s="84" t="n">
        <f aca="false">IFERROR(__xludf.dummyfunction("""COMPUTED_VALUE"""),663100)</f>
        <v>663100</v>
      </c>
      <c r="W127" s="84" t="n">
        <f aca="false">IFERROR(__xludf.dummyfunction("""COMPUTED_VALUE"""),2193755)</f>
        <v>2193755</v>
      </c>
      <c r="X127" s="84" t="n">
        <f aca="false">IFERROR(__xludf.dummyfunction("""COMPUTED_VALUE"""),2210453)</f>
        <v>2210453</v>
      </c>
      <c r="Y127" s="84" t="n">
        <f aca="false">IFERROR(__xludf.dummyfunction("""COMPUTED_VALUE"""),4132326)</f>
        <v>4132326</v>
      </c>
      <c r="Z127" s="84" t="n">
        <f aca="false">IFERROR(__xludf.dummyfunction("""COMPUTED_VALUE"""),2305666)</f>
        <v>2305666</v>
      </c>
      <c r="AA127" s="84" t="n">
        <f aca="false">IFERROR(__xludf.dummyfunction("""COMPUTED_VALUE"""),1456102)</f>
        <v>1456102</v>
      </c>
      <c r="AB127" s="84" t="n">
        <f aca="false">IFERROR(__xludf.dummyfunction("""COMPUTED_VALUE"""),2692931)</f>
        <v>2692931</v>
      </c>
      <c r="AC127" s="84" t="n">
        <f aca="false">IFERROR(__xludf.dummyfunction("""COMPUTED_VALUE"""),468269)</f>
        <v>468269</v>
      </c>
      <c r="AD127" s="84" t="n">
        <f aca="false">IFERROR(__xludf.dummyfunction("""COMPUTED_VALUE"""),728143)</f>
        <v>728143</v>
      </c>
      <c r="AE127" s="84" t="n">
        <f aca="false">IFERROR(__xludf.dummyfunction("""COMPUTED_VALUE"""),993410)</f>
        <v>993410</v>
      </c>
      <c r="AF127" s="84" t="n">
        <f aca="false">IFERROR(__xludf.dummyfunction("""COMPUTED_VALUE"""),578298)</f>
        <v>578298</v>
      </c>
      <c r="AG127" s="84" t="n">
        <f aca="false">IFERROR(__xludf.dummyfunction("""COMPUTED_VALUE"""),2760559)</f>
        <v>2760559</v>
      </c>
      <c r="AH127" s="84" t="n">
        <f aca="false">IFERROR(__xludf.dummyfunction("""COMPUTED_VALUE"""),1072006)</f>
        <v>1072006</v>
      </c>
      <c r="AI127" s="84" t="n">
        <f aca="false">IFERROR(__xludf.dummyfunction("""COMPUTED_VALUE"""),5480354)</f>
        <v>5480354</v>
      </c>
      <c r="AJ127" s="84" t="n">
        <f aca="false">IFERROR(__xludf.dummyfunction("""COMPUTED_VALUE"""),4533859)</f>
        <v>4533859</v>
      </c>
      <c r="AK127" s="84" t="n">
        <f aca="false">IFERROR(__xludf.dummyfunction("""COMPUTED_VALUE"""),281725)</f>
        <v>281725</v>
      </c>
      <c r="AL127" s="84" t="n">
        <f aca="false">IFERROR(__xludf.dummyfunction("""COMPUTED_VALUE"""),4177665)</f>
        <v>4177665</v>
      </c>
      <c r="AM127" s="84" t="n">
        <f aca="false">IFERROR(__xludf.dummyfunction("""COMPUTED_VALUE"""),2073202)</f>
        <v>2073202</v>
      </c>
      <c r="AN127" s="84" t="n">
        <f aca="false">IFERROR(__xludf.dummyfunction("""COMPUTED_VALUE"""),1616534)</f>
        <v>1616534</v>
      </c>
      <c r="AO127" s="84" t="n">
        <f aca="false">IFERROR(__xludf.dummyfunction("""COMPUTED_VALUE"""),4877940)</f>
        <v>4877940</v>
      </c>
      <c r="AP127" s="84" t="n">
        <f aca="false">IFERROR(__xludf.dummyfunction("""COMPUTED_VALUE"""),357057)</f>
        <v>357057</v>
      </c>
      <c r="AQ127" s="84" t="n">
        <f aca="false">IFERROR(__xludf.dummyfunction("""COMPUTED_VALUE"""),2456778)</f>
        <v>2456778</v>
      </c>
      <c r="AR127" s="84" t="n">
        <f aca="false">IFERROR(__xludf.dummyfunction("""COMPUTED_VALUE"""),350631)</f>
        <v>350631</v>
      </c>
      <c r="AS127" s="84" t="n">
        <f aca="false">IFERROR(__xludf.dummyfunction("""COMPUTED_VALUE"""),3318212)</f>
        <v>3318212</v>
      </c>
      <c r="AT127" s="84" t="n">
        <f aca="false">IFERROR(__xludf.dummyfunction("""COMPUTED_VALUE"""),9514758)</f>
        <v>9514758</v>
      </c>
      <c r="AU127" s="84" t="n">
        <f aca="false">IFERROR(__xludf.dummyfunction("""COMPUTED_VALUE"""),1103008)</f>
        <v>1103008</v>
      </c>
      <c r="AV127" s="84" t="n">
        <f aca="false">IFERROR(__xludf.dummyfunction("""COMPUTED_VALUE"""),350205)</f>
        <v>350205</v>
      </c>
      <c r="AW127" s="84" t="n">
        <f aca="false">IFERROR(__xludf.dummyfunction("""COMPUTED_VALUE"""),3444808)</f>
        <v>3444808</v>
      </c>
      <c r="AX127" s="84" t="n">
        <f aca="false">IFERROR(__xludf.dummyfunction("""COMPUTED_VALUE"""),2157759)</f>
        <v>2157759</v>
      </c>
      <c r="AY127" s="84" t="n">
        <f aca="false">IFERROR(__xludf.dummyfunction("""COMPUTED_VALUE"""),1020908)</f>
        <v>1020908</v>
      </c>
      <c r="AZ127" s="84" t="n">
        <f aca="false">IFERROR(__xludf.dummyfunction("""COMPUTED_VALUE"""),2434064)</f>
        <v>2434064</v>
      </c>
      <c r="BA127" s="84" t="n">
        <f aca="false">IFERROR(__xludf.dummyfunction("""COMPUTED_VALUE"""),259700)</f>
        <v>259700</v>
      </c>
    </row>
    <row r="128" customFormat="false" ht="15.75" hidden="false" customHeight="false" outlineLevel="0" collapsed="false">
      <c r="A128" s="78" t="str">
        <f aca="false">IFERROR(__xludf.dummyfunction("""COMPUTED_VALUE"""),"owner_occupied")</f>
        <v>owner_occupied</v>
      </c>
      <c r="B128" s="72" t="n">
        <f aca="false">IFERROR(__xludf.dummyfunction("""COMPUTED_VALUE"""),85350701)</f>
        <v>85350701</v>
      </c>
      <c r="C128" s="82" t="n">
        <f aca="false">IFERROR(__xludf.dummyfunction("""COMPUTED_VALUE"""),1515251)</f>
        <v>1515251</v>
      </c>
      <c r="D128" s="83" t="n">
        <f aca="false">IFERROR(__xludf.dummyfunction("""COMPUTED_VALUE"""),147813)</f>
        <v>147813</v>
      </c>
      <c r="E128" s="84" t="n">
        <f aca="false">IFERROR(__xludf.dummyfunction("""COMPUTED_VALUE"""),1618820)</f>
        <v>1618820</v>
      </c>
      <c r="F128" s="84" t="n">
        <f aca="false">IFERROR(__xludf.dummyfunction("""COMPUTED_VALUE"""),814157)</f>
        <v>814157</v>
      </c>
      <c r="G128" s="84" t="n">
        <f aca="false">IFERROR(__xludf.dummyfunction("""COMPUTED_VALUE"""),7772464)</f>
        <v>7772464</v>
      </c>
      <c r="H128" s="84" t="n">
        <f aca="false">IFERROR(__xludf.dummyfunction("""COMPUTED_VALUE"""),1776640)</f>
        <v>1776640</v>
      </c>
      <c r="I128" s="84" t="n">
        <f aca="false">IFERROR(__xludf.dummyfunction("""COMPUTED_VALUE"""),1029515)</f>
        <v>1029515</v>
      </c>
      <c r="J128" s="84" t="n">
        <f aca="false">IFERROR(__xludf.dummyfunction("""COMPUTED_VALUE"""),338317)</f>
        <v>338317</v>
      </c>
      <c r="K128" s="84" t="n">
        <f aca="false">IFERROR(__xludf.dummyfunction("""COMPUTED_VALUE"""),132012)</f>
        <v>132012</v>
      </c>
      <c r="L128" s="84" t="n">
        <f aca="false">IFERROR(__xludf.dummyfunction("""COMPUTED_VALUE"""),5636359)</f>
        <v>5636359</v>
      </c>
      <c r="M128" s="84" t="n">
        <f aca="false">IFERROR(__xludf.dummyfunction("""COMPUTED_VALUE"""),2940664)</f>
        <v>2940664</v>
      </c>
      <c r="N128" s="84" t="n">
        <f aca="false">IFERROR(__xludf.dummyfunction("""COMPUTED_VALUE"""),440031)</f>
        <v>440031</v>
      </c>
      <c r="O128" s="84" t="n">
        <f aca="false">IFERROR(__xludf.dummyfunction("""COMPUTED_VALUE"""),506399)</f>
        <v>506399</v>
      </c>
      <c r="P128" s="84" t="n">
        <f aca="false">IFERROR(__xludf.dummyfunction("""COMPUTED_VALUE"""),3582299)</f>
        <v>3582299</v>
      </c>
      <c r="Q128" s="84" t="n">
        <f aca="false">IFERROR(__xludf.dummyfunction("""COMPUTED_VALUE"""),1863945)</f>
        <v>1863945</v>
      </c>
      <c r="R128" s="84" t="n">
        <f aca="false">IFERROR(__xludf.dummyfunction("""COMPUTED_VALUE"""),1038917)</f>
        <v>1038917</v>
      </c>
      <c r="S128" s="84" t="n">
        <f aca="false">IFERROR(__xludf.dummyfunction("""COMPUTED_VALUE"""),735100)</f>
        <v>735100</v>
      </c>
      <c r="T128" s="84" t="n">
        <f aca="false">IFERROR(__xludf.dummyfunction("""COMPUTED_VALUE"""),1076566)</f>
        <v>1076566</v>
      </c>
      <c r="U128" s="84" t="n">
        <f aca="false">IFERROR(__xludf.dummyfunction("""COMPUTED_VALUE"""),1385943)</f>
        <v>1385943</v>
      </c>
      <c r="V128" s="84" t="n">
        <f aca="false">IFERROR(__xludf.dummyfunction("""COMPUTED_VALUE"""),420978)</f>
        <v>420978</v>
      </c>
      <c r="W128" s="84" t="n">
        <f aca="false">IFERROR(__xludf.dummyfunction("""COMPUTED_VALUE"""),1811502)</f>
        <v>1811502</v>
      </c>
      <c r="X128" s="84" t="n">
        <f aca="false">IFERROR(__xludf.dummyfunction("""COMPUTED_VALUE"""),1821929)</f>
        <v>1821929</v>
      </c>
      <c r="Y128" s="84" t="n">
        <f aca="false">IFERROR(__xludf.dummyfunction("""COMPUTED_VALUE"""),2870965)</f>
        <v>2870965</v>
      </c>
      <c r="Z128" s="84" t="n">
        <f aca="false">IFERROR(__xludf.dummyfunction("""COMPUTED_VALUE"""),1742930)</f>
        <v>1742930</v>
      </c>
      <c r="AA128" s="84" t="n">
        <f aca="false">IFERROR(__xludf.dummyfunction("""COMPUTED_VALUE"""),804685)</f>
        <v>804685</v>
      </c>
      <c r="AB128" s="84" t="n">
        <f aca="false">IFERROR(__xludf.dummyfunction("""COMPUTED_VALUE"""),1590885)</f>
        <v>1590885</v>
      </c>
      <c r="AC128" s="84" t="n">
        <f aca="false">IFERROR(__xludf.dummyfunction("""COMPUTED_VALUE"""),404325)</f>
        <v>404325</v>
      </c>
      <c r="AD128" s="84" t="n">
        <f aca="false">IFERROR(__xludf.dummyfunction("""COMPUTED_VALUE"""),511386)</f>
        <v>511386</v>
      </c>
      <c r="AE128" s="84" t="n">
        <f aca="false">IFERROR(__xludf.dummyfunction("""COMPUTED_VALUE"""),631680)</f>
        <v>631680</v>
      </c>
      <c r="AF128" s="84" t="n">
        <f aca="false">IFERROR(__xludf.dummyfunction("""COMPUTED_VALUE"""),420207)</f>
        <v>420207</v>
      </c>
      <c r="AG128" s="84" t="n">
        <f aca="false">IFERROR(__xludf.dummyfunction("""COMPUTED_VALUE"""),2241039)</f>
        <v>2241039</v>
      </c>
      <c r="AH128" s="84" t="n">
        <f aca="false">IFERROR(__xludf.dummyfunction("""COMPUTED_VALUE"""),523117)</f>
        <v>523117</v>
      </c>
      <c r="AI128" s="84" t="n">
        <f aca="false">IFERROR(__xludf.dummyfunction("""COMPUTED_VALUE"""),4531246)</f>
        <v>4531246</v>
      </c>
      <c r="AJ128" s="84" t="n">
        <f aca="false">IFERROR(__xludf.dummyfunction("""COMPUTED_VALUE"""),2665788)</f>
        <v>2665788</v>
      </c>
      <c r="AK128" s="84" t="n">
        <f aca="false">IFERROR(__xludf.dummyfunction("""COMPUTED_VALUE"""),157393)</f>
        <v>157393</v>
      </c>
      <c r="AL128" s="84" t="n">
        <f aca="false">IFERROR(__xludf.dummyfunction("""COMPUTED_VALUE"""),3313032)</f>
        <v>3313032</v>
      </c>
      <c r="AM128" s="84" t="n">
        <f aca="false">IFERROR(__xludf.dummyfunction("""COMPUTED_VALUE"""),1207501)</f>
        <v>1207501</v>
      </c>
      <c r="AN128" s="84" t="n">
        <f aca="false">IFERROR(__xludf.dummyfunction("""COMPUTED_VALUE"""),1055788)</f>
        <v>1055788</v>
      </c>
      <c r="AO128" s="84" t="n">
        <f aca="false">IFERROR(__xludf.dummyfunction("""COMPUTED_VALUE"""),3642425)</f>
        <v>3642425</v>
      </c>
      <c r="AP128" s="84" t="n">
        <f aca="false">IFERROR(__xludf.dummyfunction("""COMPUTED_VALUE"""),295550)</f>
        <v>295550</v>
      </c>
      <c r="AQ128" s="84" t="n">
        <f aca="false">IFERROR(__xludf.dummyfunction("""COMPUTED_VALUE"""),1450775)</f>
        <v>1450775</v>
      </c>
      <c r="AR128" s="84" t="n">
        <f aca="false">IFERROR(__xludf.dummyfunction("""COMPUTED_VALUE"""),237986)</f>
        <v>237986</v>
      </c>
      <c r="AS128" s="84" t="n">
        <f aca="false">IFERROR(__xludf.dummyfunction("""COMPUTED_VALUE"""),2036663)</f>
        <v>2036663</v>
      </c>
      <c r="AT128" s="84" t="n">
        <f aca="false">IFERROR(__xludf.dummyfunction("""COMPUTED_VALUE"""),7097668)</f>
        <v>7097668</v>
      </c>
      <c r="AU128" s="84" t="n">
        <f aca="false">IFERROR(__xludf.dummyfunction("""COMPUTED_VALUE"""),815703)</f>
        <v>815703</v>
      </c>
      <c r="AV128" s="84" t="n">
        <f aca="false">IFERROR(__xludf.dummyfunction("""COMPUTED_VALUE"""),240815)</f>
        <v>240815</v>
      </c>
      <c r="AW128" s="84" t="n">
        <f aca="false">IFERROR(__xludf.dummyfunction("""COMPUTED_VALUE"""),2257269)</f>
        <v>2257269</v>
      </c>
      <c r="AX128" s="84" t="n">
        <f aca="false">IFERROR(__xludf.dummyfunction("""COMPUTED_VALUE"""),1791097)</f>
        <v>1791097</v>
      </c>
      <c r="AY128" s="84" t="n">
        <f aca="false">IFERROR(__xludf.dummyfunction("""COMPUTED_VALUE"""),496325)</f>
        <v>496325</v>
      </c>
      <c r="AZ128" s="84" t="n">
        <f aca="false">IFERROR(__xludf.dummyfunction("""COMPUTED_VALUE"""),1759381)</f>
        <v>1759381</v>
      </c>
      <c r="BA128" s="84" t="n">
        <f aca="false">IFERROR(__xludf.dummyfunction("""COMPUTED_VALUE"""),138490)</f>
        <v>138490</v>
      </c>
    </row>
    <row r="129" customFormat="false" ht="15.75" hidden="false" customHeight="false" outlineLevel="0" collapsed="false">
      <c r="B129" s="59"/>
      <c r="C129" s="79"/>
      <c r="D129" s="80"/>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row>
    <row r="130" customFormat="false" ht="15.75" hidden="false" customHeight="false" outlineLevel="0" collapsed="false">
      <c r="A130" s="74" t="s">
        <v>1820</v>
      </c>
      <c r="B130" s="7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row>
    <row r="131" customFormat="false" ht="15.75" hidden="false" customHeight="false" outlineLevel="0" collapsed="false">
      <c r="A131" s="75" t="str">
        <f aca="false">IFERROR(__xludf.dummyfunction("TRANSPOSE(IMPORTRANGE(""https://docs.google.com/spreadsheets/d/1sNrf4xlwHQ-LujHTd1_nLHq6duGtTzjk33k9jntfg4c"", ""'Deeds'!F4:AR56""))"),"document_type")</f>
        <v>document_type</v>
      </c>
      <c r="B131" s="56" t="n">
        <f aca="false">IFERROR(__xludf.dummyfunction("""COMPUTED_VALUE"""),82125940)</f>
        <v>82125940</v>
      </c>
      <c r="C131" s="76" t="n">
        <f aca="false">IFERROR(__xludf.dummyfunction("""COMPUTED_VALUE"""),1106270)</f>
        <v>1106270</v>
      </c>
      <c r="D131" s="77" t="n">
        <f aca="false">IFERROR(__xludf.dummyfunction("""COMPUTED_VALUE"""),159955)</f>
        <v>159955</v>
      </c>
      <c r="E131" s="77" t="n">
        <f aca="false">IFERROR(__xludf.dummyfunction("""COMPUTED_VALUE"""),2209299)</f>
        <v>2209299</v>
      </c>
      <c r="F131" s="77" t="n">
        <f aca="false">IFERROR(__xludf.dummyfunction("""COMPUTED_VALUE"""),695894)</f>
        <v>695894</v>
      </c>
      <c r="G131" s="77" t="n">
        <f aca="false">IFERROR(__xludf.dummyfunction("""COMPUTED_VALUE"""),9388304)</f>
        <v>9388304</v>
      </c>
      <c r="H131" s="77" t="n">
        <f aca="false">IFERROR(__xludf.dummyfunction("""COMPUTED_VALUE"""),2032203)</f>
        <v>2032203</v>
      </c>
      <c r="I131" s="77" t="n">
        <f aca="false">IFERROR(__xludf.dummyfunction("""COMPUTED_VALUE"""),946275)</f>
        <v>946275</v>
      </c>
      <c r="J131" s="77" t="n">
        <f aca="false">IFERROR(__xludf.dummyfunction("""COMPUTED_VALUE"""),276937)</f>
        <v>276937</v>
      </c>
      <c r="K131" s="77" t="n">
        <f aca="false">IFERROR(__xludf.dummyfunction("""COMPUTED_VALUE"""),127077)</f>
        <v>127077</v>
      </c>
      <c r="L131" s="77" t="n">
        <f aca="false">IFERROR(__xludf.dummyfunction("""COMPUTED_VALUE"""),7176583)</f>
        <v>7176583</v>
      </c>
      <c r="M131" s="77" t="n">
        <f aca="false">IFERROR(__xludf.dummyfunction("""COMPUTED_VALUE"""),2831803)</f>
        <v>2831803</v>
      </c>
      <c r="N131" s="77" t="n">
        <f aca="false">IFERROR(__xludf.dummyfunction("""COMPUTED_VALUE"""),502495)</f>
        <v>502495</v>
      </c>
      <c r="O131" s="77" t="n">
        <f aca="false">IFERROR(__xludf.dummyfunction("""COMPUTED_VALUE"""),453140)</f>
        <v>453140</v>
      </c>
      <c r="P131" s="77" t="n">
        <f aca="false">IFERROR(__xludf.dummyfunction("""COMPUTED_VALUE"""),3277852)</f>
        <v>3277852</v>
      </c>
      <c r="Q131" s="77" t="n">
        <f aca="false">IFERROR(__xludf.dummyfunction("""COMPUTED_VALUE"""),1477081)</f>
        <v>1477081</v>
      </c>
      <c r="R131" s="77" t="n">
        <f aca="false">IFERROR(__xludf.dummyfunction("""COMPUTED_VALUE"""),688977)</f>
        <v>688977</v>
      </c>
      <c r="S131" s="77" t="n">
        <f aca="false">IFERROR(__xludf.dummyfunction("""COMPUTED_VALUE"""),473398)</f>
        <v>473398</v>
      </c>
      <c r="T131" s="77" t="n">
        <f aca="false">IFERROR(__xludf.dummyfunction("""COMPUTED_VALUE"""),800203)</f>
        <v>800203</v>
      </c>
      <c r="U131" s="77" t="n">
        <f aca="false">IFERROR(__xludf.dummyfunction("""COMPUTED_VALUE"""),670142)</f>
        <v>670142</v>
      </c>
      <c r="V131" s="77" t="n">
        <f aca="false">IFERROR(__xludf.dummyfunction("""COMPUTED_VALUE"""),305849)</f>
        <v>305849</v>
      </c>
      <c r="W131" s="77" t="n">
        <f aca="false">IFERROR(__xludf.dummyfunction("""COMPUTED_VALUE"""),1798408)</f>
        <v>1798408</v>
      </c>
      <c r="X131" s="77" t="n">
        <f aca="false">IFERROR(__xludf.dummyfunction("""COMPUTED_VALUE"""),1843247)</f>
        <v>1843247</v>
      </c>
      <c r="Y131" s="77" t="n">
        <f aca="false">IFERROR(__xludf.dummyfunction("""COMPUTED_VALUE"""),2720353)</f>
        <v>2720353</v>
      </c>
      <c r="Z131" s="77" t="n">
        <f aca="false">IFERROR(__xludf.dummyfunction("""COMPUTED_VALUE"""),1330635)</f>
        <v>1330635</v>
      </c>
      <c r="AA131" s="77" t="n">
        <f aca="false">IFERROR(__xludf.dummyfunction("""COMPUTED_VALUE"""),409016)</f>
        <v>409016</v>
      </c>
      <c r="AB131" s="77" t="n">
        <f aca="false">IFERROR(__xludf.dummyfunction("""COMPUTED_VALUE"""),1491062)</f>
        <v>1491062</v>
      </c>
      <c r="AC131" s="77" t="n">
        <f aca="false">IFERROR(__xludf.dummyfunction("""COMPUTED_VALUE"""),191652)</f>
        <v>191652</v>
      </c>
      <c r="AD131" s="77" t="n">
        <f aca="false">IFERROR(__xludf.dummyfunction("""COMPUTED_VALUE"""),388467)</f>
        <v>388467</v>
      </c>
      <c r="AE131" s="77" t="n">
        <f aca="false">IFERROR(__xludf.dummyfunction("""COMPUTED_VALUE"""),924669)</f>
        <v>924669</v>
      </c>
      <c r="AF131" s="77" t="n">
        <f aca="false">IFERROR(__xludf.dummyfunction("""COMPUTED_VALUE"""),376413)</f>
        <v>376413</v>
      </c>
      <c r="AG131" s="77" t="n">
        <f aca="false">IFERROR(__xludf.dummyfunction("""COMPUTED_VALUE"""),2230924)</f>
        <v>2230924</v>
      </c>
      <c r="AH131" s="77" t="n">
        <f aca="false">IFERROR(__xludf.dummyfunction("""COMPUTED_VALUE"""),445980)</f>
        <v>445980</v>
      </c>
      <c r="AI131" s="77" t="n">
        <f aca="false">IFERROR(__xludf.dummyfunction("""COMPUTED_VALUE"""),3598226)</f>
        <v>3598226</v>
      </c>
      <c r="AJ131" s="77" t="n">
        <f aca="false">IFERROR(__xludf.dummyfunction("""COMPUTED_VALUE"""),2736845)</f>
        <v>2736845</v>
      </c>
      <c r="AK131" s="77" t="n">
        <f aca="false">IFERROR(__xludf.dummyfunction("""COMPUTED_VALUE"""),123858)</f>
        <v>123858</v>
      </c>
      <c r="AL131" s="77" t="n">
        <f aca="false">IFERROR(__xludf.dummyfunction("""COMPUTED_VALUE"""),3359860)</f>
        <v>3359860</v>
      </c>
      <c r="AM131" s="77" t="n">
        <f aca="false">IFERROR(__xludf.dummyfunction("""COMPUTED_VALUE"""),1190694)</f>
        <v>1190694</v>
      </c>
      <c r="AN131" s="77" t="n">
        <f aca="false">IFERROR(__xludf.dummyfunction("""COMPUTED_VALUE"""),1116825)</f>
        <v>1116825</v>
      </c>
      <c r="AO131" s="77" t="n">
        <f aca="false">IFERROR(__xludf.dummyfunction("""COMPUTED_VALUE"""),3073958)</f>
        <v>3073958</v>
      </c>
      <c r="AP131" s="77" t="n">
        <f aca="false">IFERROR(__xludf.dummyfunction("""COMPUTED_VALUE"""),268764)</f>
        <v>268764</v>
      </c>
      <c r="AQ131" s="77" t="n">
        <f aca="false">IFERROR(__xludf.dummyfunction("""COMPUTED_VALUE"""),1457679)</f>
        <v>1457679</v>
      </c>
      <c r="AR131" s="77" t="n">
        <f aca="false">IFERROR(__xludf.dummyfunction("""COMPUTED_VALUE"""),75381)</f>
        <v>75381</v>
      </c>
      <c r="AS131" s="77" t="n">
        <f aca="false">IFERROR(__xludf.dummyfunction("""COMPUTED_VALUE"""),2303332)</f>
        <v>2303332</v>
      </c>
      <c r="AT131" s="77" t="n">
        <f aca="false">IFERROR(__xludf.dummyfunction("""COMPUTED_VALUE"""),6328630)</f>
        <v>6328630</v>
      </c>
      <c r="AU131" s="77" t="n">
        <f aca="false">IFERROR(__xludf.dummyfunction("""COMPUTED_VALUE"""),890224)</f>
        <v>890224</v>
      </c>
      <c r="AV131" s="77" t="n">
        <f aca="false">IFERROR(__xludf.dummyfunction("""COMPUTED_VALUE"""),188745)</f>
        <v>188745</v>
      </c>
      <c r="AW131" s="77" t="n">
        <f aca="false">IFERROR(__xludf.dummyfunction("""COMPUTED_VALUE"""),1864124)</f>
        <v>1864124</v>
      </c>
      <c r="AX131" s="77" t="n">
        <f aca="false">IFERROR(__xludf.dummyfunction("""COMPUTED_VALUE"""),1986230)</f>
        <v>1986230</v>
      </c>
      <c r="AY131" s="77" t="n">
        <f aca="false">IFERROR(__xludf.dummyfunction("""COMPUTED_VALUE"""),279255)</f>
        <v>279255</v>
      </c>
      <c r="AZ131" s="77" t="n">
        <f aca="false">IFERROR(__xludf.dummyfunction("""COMPUTED_VALUE"""),1426786)</f>
        <v>1426786</v>
      </c>
      <c r="BA131" s="77" t="n">
        <f aca="false">IFERROR(__xludf.dummyfunction("""COMPUTED_VALUE"""),105961)</f>
        <v>105961</v>
      </c>
    </row>
    <row r="132" customFormat="false" ht="15.75" hidden="false" customHeight="false" outlineLevel="0" collapsed="false">
      <c r="A132" s="78" t="str">
        <f aca="false">IFERROR(__xludf.dummyfunction("""COMPUTED_VALUE"""),"recording_date")</f>
        <v>recording_date</v>
      </c>
      <c r="B132" s="72" t="n">
        <f aca="false">IFERROR(__xludf.dummyfunction("""COMPUTED_VALUE"""),84986197)</f>
        <v>84986197</v>
      </c>
      <c r="C132" s="73" t="n">
        <f aca="false">IFERROR(__xludf.dummyfunction("""COMPUTED_VALUE"""),1176476)</f>
        <v>1176476</v>
      </c>
      <c r="D132" s="70" t="n">
        <f aca="false">IFERROR(__xludf.dummyfunction("""COMPUTED_VALUE"""),172648)</f>
        <v>172648</v>
      </c>
      <c r="E132" s="70" t="n">
        <f aca="false">IFERROR(__xludf.dummyfunction("""COMPUTED_VALUE"""),2247638)</f>
        <v>2247638</v>
      </c>
      <c r="F132" s="70" t="n">
        <f aca="false">IFERROR(__xludf.dummyfunction("""COMPUTED_VALUE"""),725982)</f>
        <v>725982</v>
      </c>
      <c r="G132" s="70" t="n">
        <f aca="false">IFERROR(__xludf.dummyfunction("""COMPUTED_VALUE"""),9518590)</f>
        <v>9518590</v>
      </c>
      <c r="H132" s="70" t="n">
        <f aca="false">IFERROR(__xludf.dummyfunction("""COMPUTED_VALUE"""),2079175)</f>
        <v>2079175</v>
      </c>
      <c r="I132" s="70" t="n">
        <f aca="false">IFERROR(__xludf.dummyfunction("""COMPUTED_VALUE"""),965369)</f>
        <v>965369</v>
      </c>
      <c r="J132" s="70" t="n">
        <f aca="false">IFERROR(__xludf.dummyfunction("""COMPUTED_VALUE"""),280209)</f>
        <v>280209</v>
      </c>
      <c r="K132" s="70" t="n">
        <f aca="false">IFERROR(__xludf.dummyfunction("""COMPUTED_VALUE"""),128258)</f>
        <v>128258</v>
      </c>
      <c r="L132" s="70" t="n">
        <f aca="false">IFERROR(__xludf.dummyfunction("""COMPUTED_VALUE"""),7342133)</f>
        <v>7342133</v>
      </c>
      <c r="M132" s="70" t="n">
        <f aca="false">IFERROR(__xludf.dummyfunction("""COMPUTED_VALUE"""),2923749)</f>
        <v>2923749</v>
      </c>
      <c r="N132" s="70" t="n">
        <f aca="false">IFERROR(__xludf.dummyfunction("""COMPUTED_VALUE"""),566838)</f>
        <v>566838</v>
      </c>
      <c r="O132" s="70" t="n">
        <f aca="false">IFERROR(__xludf.dummyfunction("""COMPUTED_VALUE"""),483285)</f>
        <v>483285</v>
      </c>
      <c r="P132" s="70" t="n">
        <f aca="false">IFERROR(__xludf.dummyfunction("""COMPUTED_VALUE"""),3338723)</f>
        <v>3338723</v>
      </c>
      <c r="Q132" s="70" t="n">
        <f aca="false">IFERROR(__xludf.dummyfunction("""COMPUTED_VALUE"""),1507714)</f>
        <v>1507714</v>
      </c>
      <c r="R132" s="70" t="n">
        <f aca="false">IFERROR(__xludf.dummyfunction("""COMPUTED_VALUE"""),702360)</f>
        <v>702360</v>
      </c>
      <c r="S132" s="70" t="n">
        <f aca="false">IFERROR(__xludf.dummyfunction("""COMPUTED_VALUE"""),481472)</f>
        <v>481472</v>
      </c>
      <c r="T132" s="70" t="n">
        <f aca="false">IFERROR(__xludf.dummyfunction("""COMPUTED_VALUE"""),818443)</f>
        <v>818443</v>
      </c>
      <c r="U132" s="70" t="n">
        <f aca="false">IFERROR(__xludf.dummyfunction("""COMPUTED_VALUE"""),723834)</f>
        <v>723834</v>
      </c>
      <c r="V132" s="70" t="n">
        <f aca="false">IFERROR(__xludf.dummyfunction("""COMPUTED_VALUE"""),306991)</f>
        <v>306991</v>
      </c>
      <c r="W132" s="70" t="n">
        <f aca="false">IFERROR(__xludf.dummyfunction("""COMPUTED_VALUE"""),1866678)</f>
        <v>1866678</v>
      </c>
      <c r="X132" s="70" t="n">
        <f aca="false">IFERROR(__xludf.dummyfunction("""COMPUTED_VALUE"""),1874329)</f>
        <v>1874329</v>
      </c>
      <c r="Y132" s="70" t="n">
        <f aca="false">IFERROR(__xludf.dummyfunction("""COMPUTED_VALUE"""),2745850)</f>
        <v>2745850</v>
      </c>
      <c r="Z132" s="70" t="n">
        <f aca="false">IFERROR(__xludf.dummyfunction("""COMPUTED_VALUE"""),1369638)</f>
        <v>1369638</v>
      </c>
      <c r="AA132" s="70" t="n">
        <f aca="false">IFERROR(__xludf.dummyfunction("""COMPUTED_VALUE"""),490723)</f>
        <v>490723</v>
      </c>
      <c r="AB132" s="70" t="n">
        <f aca="false">IFERROR(__xludf.dummyfunction("""COMPUTED_VALUE"""),1568417)</f>
        <v>1568417</v>
      </c>
      <c r="AC132" s="70" t="n">
        <f aca="false">IFERROR(__xludf.dummyfunction("""COMPUTED_VALUE"""),209264)</f>
        <v>209264</v>
      </c>
      <c r="AD132" s="70" t="n">
        <f aca="false">IFERROR(__xludf.dummyfunction("""COMPUTED_VALUE"""),399527)</f>
        <v>399527</v>
      </c>
      <c r="AE132" s="70" t="n">
        <f aca="false">IFERROR(__xludf.dummyfunction("""COMPUTED_VALUE"""),937882)</f>
        <v>937882</v>
      </c>
      <c r="AF132" s="70" t="n">
        <f aca="false">IFERROR(__xludf.dummyfunction("""COMPUTED_VALUE"""),381950)</f>
        <v>381950</v>
      </c>
      <c r="AG132" s="70" t="n">
        <f aca="false">IFERROR(__xludf.dummyfunction("""COMPUTED_VALUE"""),2270661)</f>
        <v>2270661</v>
      </c>
      <c r="AH132" s="70" t="n">
        <f aca="false">IFERROR(__xludf.dummyfunction("""COMPUTED_VALUE"""),509728)</f>
        <v>509728</v>
      </c>
      <c r="AI132" s="70" t="n">
        <f aca="false">IFERROR(__xludf.dummyfunction("""COMPUTED_VALUE"""),3842544)</f>
        <v>3842544</v>
      </c>
      <c r="AJ132" s="70" t="n">
        <f aca="false">IFERROR(__xludf.dummyfunction("""COMPUTED_VALUE"""),2877828)</f>
        <v>2877828</v>
      </c>
      <c r="AK132" s="70" t="n">
        <f aca="false">IFERROR(__xludf.dummyfunction("""COMPUTED_VALUE"""),129161)</f>
        <v>129161</v>
      </c>
      <c r="AL132" s="70" t="n">
        <f aca="false">IFERROR(__xludf.dummyfunction("""COMPUTED_VALUE"""),3421150)</f>
        <v>3421150</v>
      </c>
      <c r="AM132" s="70" t="n">
        <f aca="false">IFERROR(__xludf.dummyfunction("""COMPUTED_VALUE"""),1233985)</f>
        <v>1233985</v>
      </c>
      <c r="AN132" s="70" t="n">
        <f aca="false">IFERROR(__xludf.dummyfunction("""COMPUTED_VALUE"""),1157909)</f>
        <v>1157909</v>
      </c>
      <c r="AO132" s="70" t="n">
        <f aca="false">IFERROR(__xludf.dummyfunction("""COMPUTED_VALUE"""),3163833)</f>
        <v>3163833</v>
      </c>
      <c r="AP132" s="70" t="n">
        <f aca="false">IFERROR(__xludf.dummyfunction("""COMPUTED_VALUE"""),276678)</f>
        <v>276678</v>
      </c>
      <c r="AQ132" s="70" t="n">
        <f aca="false">IFERROR(__xludf.dummyfunction("""COMPUTED_VALUE"""),1518837)</f>
        <v>1518837</v>
      </c>
      <c r="AR132" s="70" t="n">
        <f aca="false">IFERROR(__xludf.dummyfunction("""COMPUTED_VALUE"""),81183)</f>
        <v>81183</v>
      </c>
      <c r="AS132" s="70" t="n">
        <f aca="false">IFERROR(__xludf.dummyfunction("""COMPUTED_VALUE"""),2497724)</f>
        <v>2497724</v>
      </c>
      <c r="AT132" s="70" t="n">
        <f aca="false">IFERROR(__xludf.dummyfunction("""COMPUTED_VALUE"""),6525819)</f>
        <v>6525819</v>
      </c>
      <c r="AU132" s="70" t="n">
        <f aca="false">IFERROR(__xludf.dummyfunction("""COMPUTED_VALUE"""),912596)</f>
        <v>912596</v>
      </c>
      <c r="AV132" s="70" t="n">
        <f aca="false">IFERROR(__xludf.dummyfunction("""COMPUTED_VALUE"""),234496)</f>
        <v>234496</v>
      </c>
      <c r="AW132" s="70" t="n">
        <f aca="false">IFERROR(__xludf.dummyfunction("""COMPUTED_VALUE"""),1971162)</f>
        <v>1971162</v>
      </c>
      <c r="AX132" s="70" t="n">
        <f aca="false">IFERROR(__xludf.dummyfunction("""COMPUTED_VALUE"""),2027368)</f>
        <v>2027368</v>
      </c>
      <c r="AY132" s="70" t="n">
        <f aca="false">IFERROR(__xludf.dummyfunction("""COMPUTED_VALUE"""),388648)</f>
        <v>388648</v>
      </c>
      <c r="AZ132" s="70" t="n">
        <f aca="false">IFERROR(__xludf.dummyfunction("""COMPUTED_VALUE"""),1500192)</f>
        <v>1500192</v>
      </c>
      <c r="BA132" s="70" t="n">
        <f aca="false">IFERROR(__xludf.dummyfunction("""COMPUTED_VALUE"""),110550)</f>
        <v>110550</v>
      </c>
    </row>
    <row r="133" customFormat="false" ht="15.75" hidden="false" customHeight="false" outlineLevel="0" collapsed="false">
      <c r="A133" s="78" t="str">
        <f aca="false">IFERROR(__xludf.dummyfunction("""COMPUTED_VALUE"""),"original_contract_date")</f>
        <v>original_contract_date</v>
      </c>
      <c r="B133" s="72" t="n">
        <f aca="false">IFERROR(__xludf.dummyfunction("""COMPUTED_VALUE"""),76955941)</f>
        <v>76955941</v>
      </c>
      <c r="C133" s="73" t="n">
        <f aca="false">IFERROR(__xludf.dummyfunction("""COMPUTED_VALUE"""),1117729)</f>
        <v>1117729</v>
      </c>
      <c r="D133" s="70" t="n">
        <f aca="false">IFERROR(__xludf.dummyfunction("""COMPUTED_VALUE"""),167936)</f>
        <v>167936</v>
      </c>
      <c r="E133" s="70" t="n">
        <f aca="false">IFERROR(__xludf.dummyfunction("""COMPUTED_VALUE"""),2199948)</f>
        <v>2199948</v>
      </c>
      <c r="F133" s="70" t="n">
        <f aca="false">IFERROR(__xludf.dummyfunction("""COMPUTED_VALUE"""),669717)</f>
        <v>669717</v>
      </c>
      <c r="G133" s="70" t="n">
        <f aca="false">IFERROR(__xludf.dummyfunction("""COMPUTED_VALUE"""),9048371)</f>
        <v>9048371</v>
      </c>
      <c r="H133" s="70" t="n">
        <f aca="false">IFERROR(__xludf.dummyfunction("""COMPUTED_VALUE"""),1733679)</f>
        <v>1733679</v>
      </c>
      <c r="I133" s="70" t="n">
        <f aca="false">IFERROR(__xludf.dummyfunction("""COMPUTED_VALUE"""),176886)</f>
        <v>176886</v>
      </c>
      <c r="J133" s="70" t="n">
        <f aca="false">IFERROR(__xludf.dummyfunction("""COMPUTED_VALUE"""),228272)</f>
        <v>228272</v>
      </c>
      <c r="K133" s="70" t="n">
        <f aca="false">IFERROR(__xludf.dummyfunction("""COMPUTED_VALUE"""),115376)</f>
        <v>115376</v>
      </c>
      <c r="L133" s="70" t="n">
        <f aca="false">IFERROR(__xludf.dummyfunction("""COMPUTED_VALUE"""),6958049)</f>
        <v>6958049</v>
      </c>
      <c r="M133" s="70" t="n">
        <f aca="false">IFERROR(__xludf.dummyfunction("""COMPUTED_VALUE"""),2883754)</f>
        <v>2883754</v>
      </c>
      <c r="N133" s="70" t="n">
        <f aca="false">IFERROR(__xludf.dummyfunction("""COMPUTED_VALUE"""),534220)</f>
        <v>534220</v>
      </c>
      <c r="O133" s="70" t="n">
        <f aca="false">IFERROR(__xludf.dummyfunction("""COMPUTED_VALUE"""),469664)</f>
        <v>469664</v>
      </c>
      <c r="P133" s="70" t="n">
        <f aca="false">IFERROR(__xludf.dummyfunction("""COMPUTED_VALUE"""),3078774)</f>
        <v>3078774</v>
      </c>
      <c r="Q133" s="70" t="n">
        <f aca="false">IFERROR(__xludf.dummyfunction("""COMPUTED_VALUE"""),1432516)</f>
        <v>1432516</v>
      </c>
      <c r="R133" s="70" t="n">
        <f aca="false">IFERROR(__xludf.dummyfunction("""COMPUTED_VALUE"""),651085)</f>
        <v>651085</v>
      </c>
      <c r="S133" s="70" t="n">
        <f aca="false">IFERROR(__xludf.dummyfunction("""COMPUTED_VALUE"""),479997)</f>
        <v>479997</v>
      </c>
      <c r="T133" s="70" t="n">
        <f aca="false">IFERROR(__xludf.dummyfunction("""COMPUTED_VALUE"""),751327)</f>
        <v>751327</v>
      </c>
      <c r="U133" s="70" t="n">
        <f aca="false">IFERROR(__xludf.dummyfunction("""COMPUTED_VALUE"""),649430)</f>
        <v>649430</v>
      </c>
      <c r="V133" s="70" t="n">
        <f aca="false">IFERROR(__xludf.dummyfunction("""COMPUTED_VALUE"""),82138)</f>
        <v>82138</v>
      </c>
      <c r="W133" s="70" t="n">
        <f aca="false">IFERROR(__xludf.dummyfunction("""COMPUTED_VALUE"""),1178225)</f>
        <v>1178225</v>
      </c>
      <c r="X133" s="70" t="n">
        <f aca="false">IFERROR(__xludf.dummyfunction("""COMPUTED_VALUE"""),459078)</f>
        <v>459078</v>
      </c>
      <c r="Y133" s="70" t="n">
        <f aca="false">IFERROR(__xludf.dummyfunction("""COMPUTED_VALUE"""),2597580)</f>
        <v>2597580</v>
      </c>
      <c r="Z133" s="70" t="n">
        <f aca="false">IFERROR(__xludf.dummyfunction("""COMPUTED_VALUE"""),1342805)</f>
        <v>1342805</v>
      </c>
      <c r="AA133" s="70" t="n">
        <f aca="false">IFERROR(__xludf.dummyfunction("""COMPUTED_VALUE"""),444870)</f>
        <v>444870</v>
      </c>
      <c r="AB133" s="70" t="n">
        <f aca="false">IFERROR(__xludf.dummyfunction("""COMPUTED_VALUE"""),1597199)</f>
        <v>1597199</v>
      </c>
      <c r="AC133" s="70" t="n">
        <f aca="false">IFERROR(__xludf.dummyfunction("""COMPUTED_VALUE"""),193708)</f>
        <v>193708</v>
      </c>
      <c r="AD133" s="70" t="n">
        <f aca="false">IFERROR(__xludf.dummyfunction("""COMPUTED_VALUE"""),388260)</f>
        <v>388260</v>
      </c>
      <c r="AE133" s="70" t="n">
        <f aca="false">IFERROR(__xludf.dummyfunction("""COMPUTED_VALUE"""),918473)</f>
        <v>918473</v>
      </c>
      <c r="AF133" s="70" t="n">
        <f aca="false">IFERROR(__xludf.dummyfunction("""COMPUTED_VALUE"""),91871)</f>
        <v>91871</v>
      </c>
      <c r="AG133" s="70" t="n">
        <f aca="false">IFERROR(__xludf.dummyfunction("""COMPUTED_VALUE"""),2267251)</f>
        <v>2267251</v>
      </c>
      <c r="AH133" s="70" t="n">
        <f aca="false">IFERROR(__xludf.dummyfunction("""COMPUTED_VALUE"""),455575)</f>
        <v>455575</v>
      </c>
      <c r="AI133" s="70" t="n">
        <f aca="false">IFERROR(__xludf.dummyfunction("""COMPUTED_VALUE"""),3697242)</f>
        <v>3697242</v>
      </c>
      <c r="AJ133" s="70" t="n">
        <f aca="false">IFERROR(__xludf.dummyfunction("""COMPUTED_VALUE"""),2733521)</f>
        <v>2733521</v>
      </c>
      <c r="AK133" s="70" t="n">
        <f aca="false">IFERROR(__xludf.dummyfunction("""COMPUTED_VALUE"""),125334)</f>
        <v>125334</v>
      </c>
      <c r="AL133" s="70" t="n">
        <f aca="false">IFERROR(__xludf.dummyfunction("""COMPUTED_VALUE"""),3323169)</f>
        <v>3323169</v>
      </c>
      <c r="AM133" s="70" t="n">
        <f aca="false">IFERROR(__xludf.dummyfunction("""COMPUTED_VALUE"""),1065214)</f>
        <v>1065214</v>
      </c>
      <c r="AN133" s="70" t="n">
        <f aca="false">IFERROR(__xludf.dummyfunction("""COMPUTED_VALUE"""),1122929)</f>
        <v>1122929</v>
      </c>
      <c r="AO133" s="70" t="n">
        <f aca="false">IFERROR(__xludf.dummyfunction("""COMPUTED_VALUE"""),3086220)</f>
        <v>3086220</v>
      </c>
      <c r="AP133" s="70" t="n">
        <f aca="false">IFERROR(__xludf.dummyfunction("""COMPUTED_VALUE"""),66986)</f>
        <v>66986</v>
      </c>
      <c r="AQ133" s="70" t="n">
        <f aca="false">IFERROR(__xludf.dummyfunction("""COMPUTED_VALUE"""),1527813)</f>
        <v>1527813</v>
      </c>
      <c r="AR133" s="70" t="n">
        <f aca="false">IFERROR(__xludf.dummyfunction("""COMPUTED_VALUE"""),79428)</f>
        <v>79428</v>
      </c>
      <c r="AS133" s="70" t="n">
        <f aca="false">IFERROR(__xludf.dummyfunction("""COMPUTED_VALUE"""),1814874)</f>
        <v>1814874</v>
      </c>
      <c r="AT133" s="70" t="n">
        <f aca="false">IFERROR(__xludf.dummyfunction("""COMPUTED_VALUE"""),6342993)</f>
        <v>6342993</v>
      </c>
      <c r="AU133" s="70" t="n">
        <f aca="false">IFERROR(__xludf.dummyfunction("""COMPUTED_VALUE"""),877388)</f>
        <v>877388</v>
      </c>
      <c r="AV133" s="70" t="n">
        <f aca="false">IFERROR(__xludf.dummyfunction("""COMPUTED_VALUE"""),190464)</f>
        <v>190464</v>
      </c>
      <c r="AW133" s="70" t="n">
        <f aca="false">IFERROR(__xludf.dummyfunction("""COMPUTED_VALUE"""),1833164)</f>
        <v>1833164</v>
      </c>
      <c r="AX133" s="70" t="n">
        <f aca="false">IFERROR(__xludf.dummyfunction("""COMPUTED_VALUE"""),1989996)</f>
        <v>1989996</v>
      </c>
      <c r="AY133" s="70" t="n">
        <f aca="false">IFERROR(__xludf.dummyfunction("""COMPUTED_VALUE"""),235198)</f>
        <v>235198</v>
      </c>
      <c r="AZ133" s="70" t="n">
        <f aca="false">IFERROR(__xludf.dummyfunction("""COMPUTED_VALUE"""),1372012)</f>
        <v>1372012</v>
      </c>
      <c r="BA133" s="70" t="n">
        <f aca="false">IFERROR(__xludf.dummyfunction("""COMPUTED_VALUE"""),108233)</f>
        <v>108233</v>
      </c>
    </row>
    <row r="134" customFormat="false" ht="15.75" hidden="false" customHeight="false" outlineLevel="0" collapsed="false">
      <c r="A134" s="78" t="str">
        <f aca="false">IFERROR(__xludf.dummyfunction("""COMPUTED_VALUE"""),"deed_book")</f>
        <v>deed_book</v>
      </c>
      <c r="B134" s="72" t="n">
        <f aca="false">IFERROR(__xludf.dummyfunction("""COMPUTED_VALUE"""),44891152)</f>
        <v>44891152</v>
      </c>
      <c r="C134" s="73" t="n">
        <f aca="false">IFERROR(__xludf.dummyfunction("""COMPUTED_VALUE"""),766956)</f>
        <v>766956</v>
      </c>
      <c r="D134" s="70" t="n">
        <f aca="false">IFERROR(__xludf.dummyfunction("""COMPUTED_VALUE"""),11460)</f>
        <v>11460</v>
      </c>
      <c r="E134" s="70" t="n">
        <f aca="false">IFERROR(__xludf.dummyfunction("""COMPUTED_VALUE"""),466790)</f>
        <v>466790</v>
      </c>
      <c r="F134" s="70" t="n">
        <f aca="false">IFERROR(__xludf.dummyfunction("""COMPUTED_VALUE"""),374611)</f>
        <v>374611</v>
      </c>
      <c r="G134" s="70" t="n">
        <f aca="false">IFERROR(__xludf.dummyfunction("""COMPUTED_VALUE"""),804896)</f>
        <v>804896</v>
      </c>
      <c r="H134" s="70" t="n">
        <f aca="false">IFERROR(__xludf.dummyfunction("""COMPUTED_VALUE"""),327969)</f>
        <v>327969</v>
      </c>
      <c r="I134" s="70" t="n">
        <f aca="false">IFERROR(__xludf.dummyfunction("""COMPUTED_VALUE"""),871551)</f>
        <v>871551</v>
      </c>
      <c r="J134" s="70" t="n">
        <f aca="false">IFERROR(__xludf.dummyfunction("""COMPUTED_VALUE"""),143518)</f>
        <v>143518</v>
      </c>
      <c r="K134" s="70" t="n">
        <f aca="false">IFERROR(__xludf.dummyfunction("""COMPUTED_VALUE"""),18797)</f>
        <v>18797</v>
      </c>
      <c r="L134" s="70" t="n">
        <f aca="false">IFERROR(__xludf.dummyfunction("""COMPUTED_VALUE"""),6743918)</f>
        <v>6743918</v>
      </c>
      <c r="M134" s="70" t="n">
        <f aca="false">IFERROR(__xludf.dummyfunction("""COMPUTED_VALUE"""),2702168)</f>
        <v>2702168</v>
      </c>
      <c r="N134" s="70" t="n">
        <f aca="false">IFERROR(__xludf.dummyfunction("""COMPUTED_VALUE"""),0)</f>
        <v>0</v>
      </c>
      <c r="O134" s="70" t="n">
        <f aca="false">IFERROR(__xludf.dummyfunction("""COMPUTED_VALUE"""),4992)</f>
        <v>4992</v>
      </c>
      <c r="P134" s="70" t="n">
        <f aca="false">IFERROR(__xludf.dummyfunction("""COMPUTED_VALUE"""),175590)</f>
        <v>175590</v>
      </c>
      <c r="Q134" s="70" t="n">
        <f aca="false">IFERROR(__xludf.dummyfunction("""COMPUTED_VALUE"""),24821)</f>
        <v>24821</v>
      </c>
      <c r="R134" s="70" t="n">
        <f aca="false">IFERROR(__xludf.dummyfunction("""COMPUTED_VALUE"""),467766)</f>
        <v>467766</v>
      </c>
      <c r="S134" s="70" t="n">
        <f aca="false">IFERROR(__xludf.dummyfunction("""COMPUTED_VALUE"""),423534)</f>
        <v>423534</v>
      </c>
      <c r="T134" s="70" t="n">
        <f aca="false">IFERROR(__xludf.dummyfunction("""COMPUTED_VALUE"""),770222)</f>
        <v>770222</v>
      </c>
      <c r="U134" s="70" t="n">
        <f aca="false">IFERROR(__xludf.dummyfunction("""COMPUTED_VALUE"""),465984)</f>
        <v>465984</v>
      </c>
      <c r="V134" s="70" t="n">
        <f aca="false">IFERROR(__xludf.dummyfunction("""COMPUTED_VALUE"""),288318)</f>
        <v>288318</v>
      </c>
      <c r="W134" s="70" t="n">
        <f aca="false">IFERROR(__xludf.dummyfunction("""COMPUTED_VALUE"""),1596353)</f>
        <v>1596353</v>
      </c>
      <c r="X134" s="70" t="n">
        <f aca="false">IFERROR(__xludf.dummyfunction("""COMPUTED_VALUE"""),1513041)</f>
        <v>1513041</v>
      </c>
      <c r="Y134" s="70" t="n">
        <f aca="false">IFERROR(__xludf.dummyfunction("""COMPUTED_VALUE"""),2040934)</f>
        <v>2040934</v>
      </c>
      <c r="Z134" s="70" t="n">
        <f aca="false">IFERROR(__xludf.dummyfunction("""COMPUTED_VALUE"""),4217)</f>
        <v>4217</v>
      </c>
      <c r="AA134" s="70" t="n">
        <f aca="false">IFERROR(__xludf.dummyfunction("""COMPUTED_VALUE"""),318318)</f>
        <v>318318</v>
      </c>
      <c r="AB134" s="70" t="n">
        <f aca="false">IFERROR(__xludf.dummyfunction("""COMPUTED_VALUE"""),1091524)</f>
        <v>1091524</v>
      </c>
      <c r="AC134" s="70" t="n">
        <f aca="false">IFERROR(__xludf.dummyfunction("""COMPUTED_VALUE"""),64523)</f>
        <v>64523</v>
      </c>
      <c r="AD134" s="70" t="n">
        <f aca="false">IFERROR(__xludf.dummyfunction("""COMPUTED_VALUE"""),108992)</f>
        <v>108992</v>
      </c>
      <c r="AE134" s="70" t="n">
        <f aca="false">IFERROR(__xludf.dummyfunction("""COMPUTED_VALUE"""),633698)</f>
        <v>633698</v>
      </c>
      <c r="AF134" s="70" t="n">
        <f aca="false">IFERROR(__xludf.dummyfunction("""COMPUTED_VALUE"""),361979)</f>
        <v>361979</v>
      </c>
      <c r="AG134" s="70" t="n">
        <f aca="false">IFERROR(__xludf.dummyfunction("""COMPUTED_VALUE"""),2012593)</f>
        <v>2012593</v>
      </c>
      <c r="AH134" s="70" t="n">
        <f aca="false">IFERROR(__xludf.dummyfunction("""COMPUTED_VALUE"""),303298)</f>
        <v>303298</v>
      </c>
      <c r="AI134" s="70" t="n">
        <f aca="false">IFERROR(__xludf.dummyfunction("""COMPUTED_VALUE"""),2918851)</f>
        <v>2918851</v>
      </c>
      <c r="AJ134" s="70" t="n">
        <f aca="false">IFERROR(__xludf.dummyfunction("""COMPUTED_VALUE"""),2661892)</f>
        <v>2661892</v>
      </c>
      <c r="AK134" s="70" t="n">
        <f aca="false">IFERROR(__xludf.dummyfunction("""COMPUTED_VALUE"""),2591)</f>
        <v>2591</v>
      </c>
      <c r="AL134" s="70" t="n">
        <f aca="false">IFERROR(__xludf.dummyfunction("""COMPUTED_VALUE"""),1613679)</f>
        <v>1613679</v>
      </c>
      <c r="AM134" s="70" t="n">
        <f aca="false">IFERROR(__xludf.dummyfunction("""COMPUTED_VALUE"""),1037679)</f>
        <v>1037679</v>
      </c>
      <c r="AN134" s="70" t="n">
        <f aca="false">IFERROR(__xludf.dummyfunction("""COMPUTED_VALUE"""),68962)</f>
        <v>68962</v>
      </c>
      <c r="AO134" s="70" t="n">
        <f aca="false">IFERROR(__xludf.dummyfunction("""COMPUTED_VALUE"""),1975750)</f>
        <v>1975750</v>
      </c>
      <c r="AP134" s="70" t="n">
        <f aca="false">IFERROR(__xludf.dummyfunction("""COMPUTED_VALUE"""),241432)</f>
        <v>241432</v>
      </c>
      <c r="AQ134" s="70" t="n">
        <f aca="false">IFERROR(__xludf.dummyfunction("""COMPUTED_VALUE"""),1402840)</f>
        <v>1402840</v>
      </c>
      <c r="AR134" s="70" t="n">
        <f aca="false">IFERROR(__xludf.dummyfunction("""COMPUTED_VALUE"""),66582)</f>
        <v>66582</v>
      </c>
      <c r="AS134" s="70" t="n">
        <f aca="false">IFERROR(__xludf.dummyfunction("""COMPUTED_VALUE"""),1651516)</f>
        <v>1651516</v>
      </c>
      <c r="AT134" s="70" t="n">
        <f aca="false">IFERROR(__xludf.dummyfunction("""COMPUTED_VALUE"""),2844453)</f>
        <v>2844453</v>
      </c>
      <c r="AU134" s="70" t="n">
        <f aca="false">IFERROR(__xludf.dummyfunction("""COMPUTED_VALUE"""),577748)</f>
        <v>577748</v>
      </c>
      <c r="AV134" s="70" t="n">
        <f aca="false">IFERROR(__xludf.dummyfunction("""COMPUTED_VALUE"""),116599)</f>
        <v>116599</v>
      </c>
      <c r="AW134" s="70" t="n">
        <f aca="false">IFERROR(__xludf.dummyfunction("""COMPUTED_VALUE"""),1118056)</f>
        <v>1118056</v>
      </c>
      <c r="AX134" s="70" t="n">
        <f aca="false">IFERROR(__xludf.dummyfunction("""COMPUTED_VALUE"""),131846)</f>
        <v>131846</v>
      </c>
      <c r="AY134" s="70" t="n">
        <f aca="false">IFERROR(__xludf.dummyfunction("""COMPUTED_VALUE"""),260599)</f>
        <v>260599</v>
      </c>
      <c r="AZ134" s="70" t="n">
        <f aca="false">IFERROR(__xludf.dummyfunction("""COMPUTED_VALUE"""),226843)</f>
        <v>226843</v>
      </c>
      <c r="BA134" s="70" t="n">
        <f aca="false">IFERROR(__xludf.dummyfunction("""COMPUTED_VALUE"""),69903)</f>
        <v>69903</v>
      </c>
    </row>
    <row r="135" customFormat="false" ht="15.75" hidden="false" customHeight="false" outlineLevel="0" collapsed="false">
      <c r="A135" s="78" t="str">
        <f aca="false">IFERROR(__xludf.dummyfunction("""COMPUTED_VALUE"""),"deed_page")</f>
        <v>deed_page</v>
      </c>
      <c r="B135" s="72" t="n">
        <f aca="false">IFERROR(__xludf.dummyfunction("""COMPUTED_VALUE"""),44893992)</f>
        <v>44893992</v>
      </c>
      <c r="C135" s="82" t="n">
        <f aca="false">IFERROR(__xludf.dummyfunction("""COMPUTED_VALUE"""),766942)</f>
        <v>766942</v>
      </c>
      <c r="D135" s="83" t="n">
        <f aca="false">IFERROR(__xludf.dummyfunction("""COMPUTED_VALUE"""),11460)</f>
        <v>11460</v>
      </c>
      <c r="E135" s="84" t="n">
        <f aca="false">IFERROR(__xludf.dummyfunction("""COMPUTED_VALUE"""),466790)</f>
        <v>466790</v>
      </c>
      <c r="F135" s="84" t="n">
        <f aca="false">IFERROR(__xludf.dummyfunction("""COMPUTED_VALUE"""),375211)</f>
        <v>375211</v>
      </c>
      <c r="G135" s="84" t="n">
        <f aca="false">IFERROR(__xludf.dummyfunction("""COMPUTED_VALUE"""),804896)</f>
        <v>804896</v>
      </c>
      <c r="H135" s="84" t="n">
        <f aca="false">IFERROR(__xludf.dummyfunction("""COMPUTED_VALUE"""),327831)</f>
        <v>327831</v>
      </c>
      <c r="I135" s="84" t="n">
        <f aca="false">IFERROR(__xludf.dummyfunction("""COMPUTED_VALUE"""),871276)</f>
        <v>871276</v>
      </c>
      <c r="J135" s="84" t="n">
        <f aca="false">IFERROR(__xludf.dummyfunction("""COMPUTED_VALUE"""),143518)</f>
        <v>143518</v>
      </c>
      <c r="K135" s="84" t="n">
        <f aca="false">IFERROR(__xludf.dummyfunction("""COMPUTED_VALUE"""),18821)</f>
        <v>18821</v>
      </c>
      <c r="L135" s="84" t="n">
        <f aca="false">IFERROR(__xludf.dummyfunction("""COMPUTED_VALUE"""),6743910)</f>
        <v>6743910</v>
      </c>
      <c r="M135" s="84" t="n">
        <f aca="false">IFERROR(__xludf.dummyfunction("""COMPUTED_VALUE"""),2702289)</f>
        <v>2702289</v>
      </c>
      <c r="N135" s="84" t="n">
        <f aca="false">IFERROR(__xludf.dummyfunction("""COMPUTED_VALUE"""),0)</f>
        <v>0</v>
      </c>
      <c r="O135" s="84" t="n">
        <f aca="false">IFERROR(__xludf.dummyfunction("""COMPUTED_VALUE"""),4992)</f>
        <v>4992</v>
      </c>
      <c r="P135" s="84" t="n">
        <f aca="false">IFERROR(__xludf.dummyfunction("""COMPUTED_VALUE"""),175315)</f>
        <v>175315</v>
      </c>
      <c r="Q135" s="84" t="n">
        <f aca="false">IFERROR(__xludf.dummyfunction("""COMPUTED_VALUE"""),24817)</f>
        <v>24817</v>
      </c>
      <c r="R135" s="84" t="n">
        <f aca="false">IFERROR(__xludf.dummyfunction("""COMPUTED_VALUE"""),467753)</f>
        <v>467753</v>
      </c>
      <c r="S135" s="84" t="n">
        <f aca="false">IFERROR(__xludf.dummyfunction("""COMPUTED_VALUE"""),423524)</f>
        <v>423524</v>
      </c>
      <c r="T135" s="84" t="n">
        <f aca="false">IFERROR(__xludf.dummyfunction("""COMPUTED_VALUE"""),770555)</f>
        <v>770555</v>
      </c>
      <c r="U135" s="84" t="n">
        <f aca="false">IFERROR(__xludf.dummyfunction("""COMPUTED_VALUE"""),465971)</f>
        <v>465971</v>
      </c>
      <c r="V135" s="84" t="n">
        <f aca="false">IFERROR(__xludf.dummyfunction("""COMPUTED_VALUE"""),288318)</f>
        <v>288318</v>
      </c>
      <c r="W135" s="84" t="n">
        <f aca="false">IFERROR(__xludf.dummyfunction("""COMPUTED_VALUE"""),1596336)</f>
        <v>1596336</v>
      </c>
      <c r="X135" s="84" t="n">
        <f aca="false">IFERROR(__xludf.dummyfunction("""COMPUTED_VALUE"""),1513017)</f>
        <v>1513017</v>
      </c>
      <c r="Y135" s="84" t="n">
        <f aca="false">IFERROR(__xludf.dummyfunction("""COMPUTED_VALUE"""),2040932)</f>
        <v>2040932</v>
      </c>
      <c r="Z135" s="84" t="n">
        <f aca="false">IFERROR(__xludf.dummyfunction("""COMPUTED_VALUE"""),4434)</f>
        <v>4434</v>
      </c>
      <c r="AA135" s="84" t="n">
        <f aca="false">IFERROR(__xludf.dummyfunction("""COMPUTED_VALUE"""),318411)</f>
        <v>318411</v>
      </c>
      <c r="AB135" s="84" t="n">
        <f aca="false">IFERROR(__xludf.dummyfunction("""COMPUTED_VALUE"""),1092062)</f>
        <v>1092062</v>
      </c>
      <c r="AC135" s="84" t="n">
        <f aca="false">IFERROR(__xludf.dummyfunction("""COMPUTED_VALUE"""),64515)</f>
        <v>64515</v>
      </c>
      <c r="AD135" s="84" t="n">
        <f aca="false">IFERROR(__xludf.dummyfunction("""COMPUTED_VALUE"""),108989)</f>
        <v>108989</v>
      </c>
      <c r="AE135" s="84" t="n">
        <f aca="false">IFERROR(__xludf.dummyfunction("""COMPUTED_VALUE"""),633698)</f>
        <v>633698</v>
      </c>
      <c r="AF135" s="84" t="n">
        <f aca="false">IFERROR(__xludf.dummyfunction("""COMPUTED_VALUE"""),361979)</f>
        <v>361979</v>
      </c>
      <c r="AG135" s="84" t="n">
        <f aca="false">IFERROR(__xludf.dummyfunction("""COMPUTED_VALUE"""),2011942)</f>
        <v>2011942</v>
      </c>
      <c r="AH135" s="84" t="n">
        <f aca="false">IFERROR(__xludf.dummyfunction("""COMPUTED_VALUE"""),303296)</f>
        <v>303296</v>
      </c>
      <c r="AI135" s="84" t="n">
        <f aca="false">IFERROR(__xludf.dummyfunction("""COMPUTED_VALUE"""),2918851)</f>
        <v>2918851</v>
      </c>
      <c r="AJ135" s="84" t="n">
        <f aca="false">IFERROR(__xludf.dummyfunction("""COMPUTED_VALUE"""),2661849)</f>
        <v>2661849</v>
      </c>
      <c r="AK135" s="84" t="n">
        <f aca="false">IFERROR(__xludf.dummyfunction("""COMPUTED_VALUE"""),2619)</f>
        <v>2619</v>
      </c>
      <c r="AL135" s="84" t="n">
        <f aca="false">IFERROR(__xludf.dummyfunction("""COMPUTED_VALUE"""),1613694)</f>
        <v>1613694</v>
      </c>
      <c r="AM135" s="84" t="n">
        <f aca="false">IFERROR(__xludf.dummyfunction("""COMPUTED_VALUE"""),1037680)</f>
        <v>1037680</v>
      </c>
      <c r="AN135" s="84" t="n">
        <f aca="false">IFERROR(__xludf.dummyfunction("""COMPUTED_VALUE"""),68962)</f>
        <v>68962</v>
      </c>
      <c r="AO135" s="84" t="n">
        <f aca="false">IFERROR(__xludf.dummyfunction("""COMPUTED_VALUE"""),1976018)</f>
        <v>1976018</v>
      </c>
      <c r="AP135" s="84" t="n">
        <f aca="false">IFERROR(__xludf.dummyfunction("""COMPUTED_VALUE"""),241403)</f>
        <v>241403</v>
      </c>
      <c r="AQ135" s="84" t="n">
        <f aca="false">IFERROR(__xludf.dummyfunction("""COMPUTED_VALUE"""),1402772)</f>
        <v>1402772</v>
      </c>
      <c r="AR135" s="84" t="n">
        <f aca="false">IFERROR(__xludf.dummyfunction("""COMPUTED_VALUE"""),66582)</f>
        <v>66582</v>
      </c>
      <c r="AS135" s="84" t="n">
        <f aca="false">IFERROR(__xludf.dummyfunction("""COMPUTED_VALUE"""),1650215)</f>
        <v>1650215</v>
      </c>
      <c r="AT135" s="84" t="n">
        <f aca="false">IFERROR(__xludf.dummyfunction("""COMPUTED_VALUE"""),2844429)</f>
        <v>2844429</v>
      </c>
      <c r="AU135" s="84" t="n">
        <f aca="false">IFERROR(__xludf.dummyfunction("""COMPUTED_VALUE"""),577748)</f>
        <v>577748</v>
      </c>
      <c r="AV135" s="84" t="n">
        <f aca="false">IFERROR(__xludf.dummyfunction("""COMPUTED_VALUE"""),116597)</f>
        <v>116597</v>
      </c>
      <c r="AW135" s="84" t="n">
        <f aca="false">IFERROR(__xludf.dummyfunction("""COMPUTED_VALUE"""),1120392)</f>
        <v>1120392</v>
      </c>
      <c r="AX135" s="84" t="n">
        <f aca="false">IFERROR(__xludf.dummyfunction("""COMPUTED_VALUE"""),131847)</f>
        <v>131847</v>
      </c>
      <c r="AY135" s="84" t="n">
        <f aca="false">IFERROR(__xludf.dummyfunction("""COMPUTED_VALUE"""),260849)</f>
        <v>260849</v>
      </c>
      <c r="AZ135" s="84" t="n">
        <f aca="false">IFERROR(__xludf.dummyfunction("""COMPUTED_VALUE"""),227827)</f>
        <v>227827</v>
      </c>
      <c r="BA135" s="84" t="n">
        <f aca="false">IFERROR(__xludf.dummyfunction("""COMPUTED_VALUE"""),69858)</f>
        <v>69858</v>
      </c>
    </row>
    <row r="136" customFormat="false" ht="15.75" hidden="false" customHeight="false" outlineLevel="0" collapsed="false">
      <c r="A136" s="78" t="str">
        <f aca="false">IFERROR(__xludf.dummyfunction("""COMPUTED_VALUE"""),"document_id")</f>
        <v>document_id</v>
      </c>
      <c r="B136" s="72" t="n">
        <f aca="false">IFERROR(__xludf.dummyfunction("""COMPUTED_VALUE"""),68027438)</f>
        <v>68027438</v>
      </c>
      <c r="C136" s="82" t="n">
        <f aca="false">IFERROR(__xludf.dummyfunction("""COMPUTED_VALUE"""),659647)</f>
        <v>659647</v>
      </c>
      <c r="D136" s="83" t="n">
        <f aca="false">IFERROR(__xludf.dummyfunction("""COMPUTED_VALUE"""),145795)</f>
        <v>145795</v>
      </c>
      <c r="E136" s="84" t="n">
        <f aca="false">IFERROR(__xludf.dummyfunction("""COMPUTED_VALUE"""),2201311)</f>
        <v>2201311</v>
      </c>
      <c r="F136" s="84" t="n">
        <f aca="false">IFERROR(__xludf.dummyfunction("""COMPUTED_VALUE"""),422212)</f>
        <v>422212</v>
      </c>
      <c r="G136" s="84" t="n">
        <f aca="false">IFERROR(__xludf.dummyfunction("""COMPUTED_VALUE"""),8914029)</f>
        <v>8914029</v>
      </c>
      <c r="H136" s="84" t="n">
        <f aca="false">IFERROR(__xludf.dummyfunction("""COMPUTED_VALUE"""),1980492)</f>
        <v>1980492</v>
      </c>
      <c r="I136" s="84" t="n">
        <f aca="false">IFERROR(__xludf.dummyfunction("""COMPUTED_VALUE"""),222644)</f>
        <v>222644</v>
      </c>
      <c r="J136" s="84" t="n">
        <f aca="false">IFERROR(__xludf.dummyfunction("""COMPUTED_VALUE"""),274596)</f>
        <v>274596</v>
      </c>
      <c r="K136" s="84" t="n">
        <f aca="false">IFERROR(__xludf.dummyfunction("""COMPUTED_VALUE"""),118077)</f>
        <v>118077</v>
      </c>
      <c r="L136" s="84" t="n">
        <f aca="false">IFERROR(__xludf.dummyfunction("""COMPUTED_VALUE"""),6335773)</f>
        <v>6335773</v>
      </c>
      <c r="M136" s="84" t="n">
        <f aca="false">IFERROR(__xludf.dummyfunction("""COMPUTED_VALUE"""),1935075)</f>
        <v>1935075</v>
      </c>
      <c r="N136" s="84" t="n">
        <f aca="false">IFERROR(__xludf.dummyfunction("""COMPUTED_VALUE"""),387289)</f>
        <v>387289</v>
      </c>
      <c r="O136" s="84" t="n">
        <f aca="false">IFERROR(__xludf.dummyfunction("""COMPUTED_VALUE"""),436847)</f>
        <v>436847</v>
      </c>
      <c r="P136" s="84" t="n">
        <f aca="false">IFERROR(__xludf.dummyfunction("""COMPUTED_VALUE"""),3209073)</f>
        <v>3209073</v>
      </c>
      <c r="Q136" s="84" t="n">
        <f aca="false">IFERROR(__xludf.dummyfunction("""COMPUTED_VALUE"""),1432132)</f>
        <v>1432132</v>
      </c>
      <c r="R136" s="84" t="n">
        <f aca="false">IFERROR(__xludf.dummyfunction("""COMPUTED_VALUE"""),584972)</f>
        <v>584972</v>
      </c>
      <c r="S136" s="84" t="n">
        <f aca="false">IFERROR(__xludf.dummyfunction("""COMPUTED_VALUE"""),289062)</f>
        <v>289062</v>
      </c>
      <c r="T136" s="84" t="n">
        <f aca="false">IFERROR(__xludf.dummyfunction("""COMPUTED_VALUE"""),607937)</f>
        <v>607937</v>
      </c>
      <c r="U136" s="84" t="n">
        <f aca="false">IFERROR(__xludf.dummyfunction("""COMPUTED_VALUE"""),537677)</f>
        <v>537677</v>
      </c>
      <c r="V136" s="84" t="n">
        <f aca="false">IFERROR(__xludf.dummyfunction("""COMPUTED_VALUE"""),263035)</f>
        <v>263035</v>
      </c>
      <c r="W136" s="84" t="n">
        <f aca="false">IFERROR(__xludf.dummyfunction("""COMPUTED_VALUE"""),1172966)</f>
        <v>1172966</v>
      </c>
      <c r="X136" s="84" t="n">
        <f aca="false">IFERROR(__xludf.dummyfunction("""COMPUTED_VALUE"""),1323856)</f>
        <v>1323856</v>
      </c>
      <c r="Y136" s="84" t="n">
        <f aca="false">IFERROR(__xludf.dummyfunction("""COMPUTED_VALUE"""),2129852)</f>
        <v>2129852</v>
      </c>
      <c r="Z136" s="84" t="n">
        <f aca="false">IFERROR(__xludf.dummyfunction("""COMPUTED_VALUE"""),1294562)</f>
        <v>1294562</v>
      </c>
      <c r="AA136" s="84" t="n">
        <f aca="false">IFERROR(__xludf.dummyfunction("""COMPUTED_VALUE"""),217254)</f>
        <v>217254</v>
      </c>
      <c r="AB136" s="84" t="n">
        <f aca="false">IFERROR(__xludf.dummyfunction("""COMPUTED_VALUE"""),1383130)</f>
        <v>1383130</v>
      </c>
      <c r="AC136" s="84" t="n">
        <f aca="false">IFERROR(__xludf.dummyfunction("""COMPUTED_VALUE"""),188284)</f>
        <v>188284</v>
      </c>
      <c r="AD136" s="84" t="n">
        <f aca="false">IFERROR(__xludf.dummyfunction("""COMPUTED_VALUE"""),342343)</f>
        <v>342343</v>
      </c>
      <c r="AE136" s="84" t="n">
        <f aca="false">IFERROR(__xludf.dummyfunction("""COMPUTED_VALUE"""),779978)</f>
        <v>779978</v>
      </c>
      <c r="AF136" s="84" t="n">
        <f aca="false">IFERROR(__xludf.dummyfunction("""COMPUTED_VALUE"""),197092)</f>
        <v>197092</v>
      </c>
      <c r="AG136" s="84" t="n">
        <f aca="false">IFERROR(__xludf.dummyfunction("""COMPUTED_VALUE"""),1622573)</f>
        <v>1622573</v>
      </c>
      <c r="AH136" s="84" t="n">
        <f aca="false">IFERROR(__xludf.dummyfunction("""COMPUTED_VALUE"""),416450)</f>
        <v>416450</v>
      </c>
      <c r="AI136" s="84" t="n">
        <f aca="false">IFERROR(__xludf.dummyfunction("""COMPUTED_VALUE"""),1734534)</f>
        <v>1734534</v>
      </c>
      <c r="AJ136" s="84" t="n">
        <f aca="false">IFERROR(__xludf.dummyfunction("""COMPUTED_VALUE"""),1562370)</f>
        <v>1562370</v>
      </c>
      <c r="AK136" s="84" t="n">
        <f aca="false">IFERROR(__xludf.dummyfunction("""COMPUTED_VALUE"""),116384)</f>
        <v>116384</v>
      </c>
      <c r="AL136" s="84" t="n">
        <f aca="false">IFERROR(__xludf.dummyfunction("""COMPUTED_VALUE"""),3098384)</f>
        <v>3098384</v>
      </c>
      <c r="AM136" s="84" t="n">
        <f aca="false">IFERROR(__xludf.dummyfunction("""COMPUTED_VALUE"""),1129927)</f>
        <v>1129927</v>
      </c>
      <c r="AN136" s="84" t="n">
        <f aca="false">IFERROR(__xludf.dummyfunction("""COMPUTED_VALUE"""),974852)</f>
        <v>974852</v>
      </c>
      <c r="AO136" s="84" t="n">
        <f aca="false">IFERROR(__xludf.dummyfunction("""COMPUTED_VALUE"""),2797673)</f>
        <v>2797673</v>
      </c>
      <c r="AP136" s="84" t="n">
        <f aca="false">IFERROR(__xludf.dummyfunction("""COMPUTED_VALUE"""),105296)</f>
        <v>105296</v>
      </c>
      <c r="AQ136" s="84" t="n">
        <f aca="false">IFERROR(__xludf.dummyfunction("""COMPUTED_VALUE"""),1069953)</f>
        <v>1069953</v>
      </c>
      <c r="AR136" s="84" t="n">
        <f aca="false">IFERROR(__xludf.dummyfunction("""COMPUTED_VALUE"""),51224)</f>
        <v>51224</v>
      </c>
      <c r="AS136" s="84" t="n">
        <f aca="false">IFERROR(__xludf.dummyfunction("""COMPUTED_VALUE"""),1590976)</f>
        <v>1590976</v>
      </c>
      <c r="AT136" s="84" t="n">
        <f aca="false">IFERROR(__xludf.dummyfunction("""COMPUTED_VALUE"""),5821574)</f>
        <v>5821574</v>
      </c>
      <c r="AU136" s="84" t="n">
        <f aca="false">IFERROR(__xludf.dummyfunction("""COMPUTED_VALUE"""),819323)</f>
        <v>819323</v>
      </c>
      <c r="AV136" s="84" t="n">
        <f aca="false">IFERROR(__xludf.dummyfunction("""COMPUTED_VALUE"""),188744)</f>
        <v>188744</v>
      </c>
      <c r="AW136" s="84" t="n">
        <f aca="false">IFERROR(__xludf.dummyfunction("""COMPUTED_VALUE"""),1331859)</f>
        <v>1331859</v>
      </c>
      <c r="AX136" s="84" t="n">
        <f aca="false">IFERROR(__xludf.dummyfunction("""COMPUTED_VALUE"""),1942295)</f>
        <v>1942295</v>
      </c>
      <c r="AY136" s="84" t="n">
        <f aca="false">IFERROR(__xludf.dummyfunction("""COMPUTED_VALUE"""),191164)</f>
        <v>191164</v>
      </c>
      <c r="AZ136" s="84" t="n">
        <f aca="false">IFERROR(__xludf.dummyfunction("""COMPUTED_VALUE"""),1374379)</f>
        <v>1374379</v>
      </c>
      <c r="BA136" s="84" t="n">
        <f aca="false">IFERROR(__xludf.dummyfunction("""COMPUTED_VALUE"""),100512)</f>
        <v>100512</v>
      </c>
    </row>
    <row r="137" customFormat="false" ht="15.75" hidden="false" customHeight="false" outlineLevel="0" collapsed="false">
      <c r="A137" s="78" t="str">
        <f aca="false">IFERROR(__xludf.dummyfunction("""COMPUTED_VALUE"""),"sale_price")</f>
        <v>sale_price</v>
      </c>
      <c r="B137" s="72" t="n">
        <f aca="false">IFERROR(__xludf.dummyfunction("""COMPUTED_VALUE"""),62745579)</f>
        <v>62745579</v>
      </c>
      <c r="C137" s="82" t="n">
        <f aca="false">IFERROR(__xludf.dummyfunction("""COMPUTED_VALUE"""),912020)</f>
        <v>912020</v>
      </c>
      <c r="D137" s="83" t="n">
        <f aca="false">IFERROR(__xludf.dummyfunction("""COMPUTED_VALUE"""),22113)</f>
        <v>22113</v>
      </c>
      <c r="E137" s="84" t="n">
        <f aca="false">IFERROR(__xludf.dummyfunction("""COMPUTED_VALUE"""),2021359)</f>
        <v>2021359</v>
      </c>
      <c r="F137" s="84" t="n">
        <f aca="false">IFERROR(__xludf.dummyfunction("""COMPUTED_VALUE"""),553754)</f>
        <v>553754</v>
      </c>
      <c r="G137" s="84" t="n">
        <f aca="false">IFERROR(__xludf.dummyfunction("""COMPUTED_VALUE"""),7410759)</f>
        <v>7410759</v>
      </c>
      <c r="H137" s="84" t="n">
        <f aca="false">IFERROR(__xludf.dummyfunction("""COMPUTED_VALUE"""),1836844)</f>
        <v>1836844</v>
      </c>
      <c r="I137" s="84" t="n">
        <f aca="false">IFERROR(__xludf.dummyfunction("""COMPUTED_VALUE"""),902855)</f>
        <v>902855</v>
      </c>
      <c r="J137" s="84" t="n">
        <f aca="false">IFERROR(__xludf.dummyfunction("""COMPUTED_VALUE"""),217090)</f>
        <v>217090</v>
      </c>
      <c r="K137" s="84" t="n">
        <f aca="false">IFERROR(__xludf.dummyfunction("""COMPUTED_VALUE"""),118188)</f>
        <v>118188</v>
      </c>
      <c r="L137" s="84" t="n">
        <f aca="false">IFERROR(__xludf.dummyfunction("""COMPUTED_VALUE"""),6747578)</f>
        <v>6747578</v>
      </c>
      <c r="M137" s="84" t="n">
        <f aca="false">IFERROR(__xludf.dummyfunction("""COMPUTED_VALUE"""),2599371)</f>
        <v>2599371</v>
      </c>
      <c r="N137" s="84" t="n">
        <f aca="false">IFERROR(__xludf.dummyfunction("""COMPUTED_VALUE"""),403072)</f>
        <v>403072</v>
      </c>
      <c r="O137" s="84" t="n">
        <f aca="false">IFERROR(__xludf.dummyfunction("""COMPUTED_VALUE"""),41972)</f>
        <v>41972</v>
      </c>
      <c r="P137" s="84" t="n">
        <f aca="false">IFERROR(__xludf.dummyfunction("""COMPUTED_VALUE"""),2761254)</f>
        <v>2761254</v>
      </c>
      <c r="Q137" s="84" t="n">
        <f aca="false">IFERROR(__xludf.dummyfunction("""COMPUTED_VALUE"""),334347)</f>
        <v>334347</v>
      </c>
      <c r="R137" s="84" t="n">
        <f aca="false">IFERROR(__xludf.dummyfunction("""COMPUTED_VALUE"""),575689)</f>
        <v>575689</v>
      </c>
      <c r="S137" s="84" t="n">
        <f aca="false">IFERROR(__xludf.dummyfunction("""COMPUTED_VALUE"""),77849)</f>
        <v>77849</v>
      </c>
      <c r="T137" s="84" t="n">
        <f aca="false">IFERROR(__xludf.dummyfunction("""COMPUTED_VALUE"""),712402)</f>
        <v>712402</v>
      </c>
      <c r="U137" s="84" t="n">
        <f aca="false">IFERROR(__xludf.dummyfunction("""COMPUTED_VALUE"""),643499)</f>
        <v>643499</v>
      </c>
      <c r="V137" s="84" t="n">
        <f aca="false">IFERROR(__xludf.dummyfunction("""COMPUTED_VALUE"""),21381)</f>
        <v>21381</v>
      </c>
      <c r="W137" s="84" t="n">
        <f aca="false">IFERROR(__xludf.dummyfunction("""COMPUTED_VALUE"""),1637065)</f>
        <v>1637065</v>
      </c>
      <c r="X137" s="84" t="n">
        <f aca="false">IFERROR(__xludf.dummyfunction("""COMPUTED_VALUE"""),1673019)</f>
        <v>1673019</v>
      </c>
      <c r="Y137" s="84" t="n">
        <f aca="false">IFERROR(__xludf.dummyfunction("""COMPUTED_VALUE"""),2093171)</f>
        <v>2093171</v>
      </c>
      <c r="Z137" s="84" t="n">
        <f aca="false">IFERROR(__xludf.dummyfunction("""COMPUTED_VALUE"""),1201309)</f>
        <v>1201309</v>
      </c>
      <c r="AA137" s="84" t="n">
        <f aca="false">IFERROR(__xludf.dummyfunction("""COMPUTED_VALUE"""),35810)</f>
        <v>35810</v>
      </c>
      <c r="AB137" s="84" t="n">
        <f aca="false">IFERROR(__xludf.dummyfunction("""COMPUTED_VALUE"""),509645)</f>
        <v>509645</v>
      </c>
      <c r="AC137" s="84" t="n">
        <f aca="false">IFERROR(__xludf.dummyfunction("""COMPUTED_VALUE"""),10043)</f>
        <v>10043</v>
      </c>
      <c r="AD137" s="84" t="n">
        <f aca="false">IFERROR(__xludf.dummyfunction("""COMPUTED_VALUE"""),341551)</f>
        <v>341551</v>
      </c>
      <c r="AE137" s="84" t="n">
        <f aca="false">IFERROR(__xludf.dummyfunction("""COMPUTED_VALUE"""),864588)</f>
        <v>864588</v>
      </c>
      <c r="AF137" s="84" t="n">
        <f aca="false">IFERROR(__xludf.dummyfunction("""COMPUTED_VALUE"""),344121)</f>
        <v>344121</v>
      </c>
      <c r="AG137" s="84" t="n">
        <f aca="false">IFERROR(__xludf.dummyfunction("""COMPUTED_VALUE"""),2090927)</f>
        <v>2090927</v>
      </c>
      <c r="AH137" s="84" t="n">
        <f aca="false">IFERROR(__xludf.dummyfunction("""COMPUTED_VALUE"""),41319)</f>
        <v>41319</v>
      </c>
      <c r="AI137" s="84" t="n">
        <f aca="false">IFERROR(__xludf.dummyfunction("""COMPUTED_VALUE"""),3148874)</f>
        <v>3148874</v>
      </c>
      <c r="AJ137" s="84" t="n">
        <f aca="false">IFERROR(__xludf.dummyfunction("""COMPUTED_VALUE"""),2400575)</f>
        <v>2400575</v>
      </c>
      <c r="AK137" s="84" t="n">
        <f aca="false">IFERROR(__xludf.dummyfunction("""COMPUTED_VALUE"""),78769)</f>
        <v>78769</v>
      </c>
      <c r="AL137" s="84" t="n">
        <f aca="false">IFERROR(__xludf.dummyfunction("""COMPUTED_VALUE"""),2780700)</f>
        <v>2780700</v>
      </c>
      <c r="AM137" s="84" t="n">
        <f aca="false">IFERROR(__xludf.dummyfunction("""COMPUTED_VALUE"""),995860)</f>
        <v>995860</v>
      </c>
      <c r="AN137" s="84" t="n">
        <f aca="false">IFERROR(__xludf.dummyfunction("""COMPUTED_VALUE"""),986285)</f>
        <v>986285</v>
      </c>
      <c r="AO137" s="84" t="n">
        <f aca="false">IFERROR(__xludf.dummyfunction("""COMPUTED_VALUE"""),2682613)</f>
        <v>2682613</v>
      </c>
      <c r="AP137" s="84" t="n">
        <f aca="false">IFERROR(__xludf.dummyfunction("""COMPUTED_VALUE"""),246245)</f>
        <v>246245</v>
      </c>
      <c r="AQ137" s="84" t="n">
        <f aca="false">IFERROR(__xludf.dummyfunction("""COMPUTED_VALUE"""),1274044)</f>
        <v>1274044</v>
      </c>
      <c r="AR137" s="84" t="n">
        <f aca="false">IFERROR(__xludf.dummyfunction("""COMPUTED_VALUE"""),50203)</f>
        <v>50203</v>
      </c>
      <c r="AS137" s="84" t="n">
        <f aca="false">IFERROR(__xludf.dummyfunction("""COMPUTED_VALUE"""),2241854)</f>
        <v>2241854</v>
      </c>
      <c r="AT137" s="84" t="n">
        <f aca="false">IFERROR(__xludf.dummyfunction("""COMPUTED_VALUE"""),796997)</f>
        <v>796997</v>
      </c>
      <c r="AU137" s="84" t="n">
        <f aca="false">IFERROR(__xludf.dummyfunction("""COMPUTED_VALUE"""),111985)</f>
        <v>111985</v>
      </c>
      <c r="AV137" s="84" t="n">
        <f aca="false">IFERROR(__xludf.dummyfunction("""COMPUTED_VALUE"""),180464)</f>
        <v>180464</v>
      </c>
      <c r="AW137" s="84" t="n">
        <f aca="false">IFERROR(__xludf.dummyfunction("""COMPUTED_VALUE"""),1778242)</f>
        <v>1778242</v>
      </c>
      <c r="AX137" s="84" t="n">
        <f aca="false">IFERROR(__xludf.dummyfunction("""COMPUTED_VALUE"""),1761875)</f>
        <v>1761875</v>
      </c>
      <c r="AY137" s="84" t="n">
        <f aca="false">IFERROR(__xludf.dummyfunction("""COMPUTED_VALUE"""),250760)</f>
        <v>250760</v>
      </c>
      <c r="AZ137" s="84" t="n">
        <f aca="false">IFERROR(__xludf.dummyfunction("""COMPUTED_VALUE"""),1213412)</f>
        <v>1213412</v>
      </c>
      <c r="BA137" s="84" t="n">
        <f aca="false">IFERROR(__xludf.dummyfunction("""COMPUTED_VALUE"""),9858)</f>
        <v>9858</v>
      </c>
    </row>
    <row r="138" customFormat="false" ht="15.75" hidden="false" customHeight="false" outlineLevel="0" collapsed="false">
      <c r="A138" s="78" t="str">
        <f aca="false">IFERROR(__xludf.dummyfunction("""COMPUTED_VALUE"""),"sale_price_description")</f>
        <v>sale_price_description</v>
      </c>
      <c r="B138" s="72" t="n">
        <f aca="false">IFERROR(__xludf.dummyfunction("""COMPUTED_VALUE"""),68570631)</f>
        <v>68570631</v>
      </c>
      <c r="C138" s="82" t="n">
        <f aca="false">IFERROR(__xludf.dummyfunction("""COMPUTED_VALUE"""),1007167)</f>
        <v>1007167</v>
      </c>
      <c r="D138" s="83" t="n">
        <f aca="false">IFERROR(__xludf.dummyfunction("""COMPUTED_VALUE"""),23250)</f>
        <v>23250</v>
      </c>
      <c r="E138" s="84" t="n">
        <f aca="false">IFERROR(__xludf.dummyfunction("""COMPUTED_VALUE"""),2172836)</f>
        <v>2172836</v>
      </c>
      <c r="F138" s="84" t="n">
        <f aca="false">IFERROR(__xludf.dummyfunction("""COMPUTED_VALUE"""),655215)</f>
        <v>655215</v>
      </c>
      <c r="G138" s="84" t="n">
        <f aca="false">IFERROR(__xludf.dummyfunction("""COMPUTED_VALUE"""),9223985)</f>
        <v>9223985</v>
      </c>
      <c r="H138" s="84" t="n">
        <f aca="false">IFERROR(__xludf.dummyfunction("""COMPUTED_VALUE"""),1965044)</f>
        <v>1965044</v>
      </c>
      <c r="I138" s="84" t="n">
        <f aca="false">IFERROR(__xludf.dummyfunction("""COMPUTED_VALUE"""),932020)</f>
        <v>932020</v>
      </c>
      <c r="J138" s="84" t="n">
        <f aca="false">IFERROR(__xludf.dummyfunction("""COMPUTED_VALUE"""),269331)</f>
        <v>269331</v>
      </c>
      <c r="K138" s="84" t="n">
        <f aca="false">IFERROR(__xludf.dummyfunction("""COMPUTED_VALUE"""),113383)</f>
        <v>113383</v>
      </c>
      <c r="L138" s="84" t="n">
        <f aca="false">IFERROR(__xludf.dummyfunction("""COMPUTED_VALUE"""),6736215)</f>
        <v>6736215</v>
      </c>
      <c r="M138" s="84" t="n">
        <f aca="false">IFERROR(__xludf.dummyfunction("""COMPUTED_VALUE"""),2614996)</f>
        <v>2614996</v>
      </c>
      <c r="N138" s="84" t="n">
        <f aca="false">IFERROR(__xludf.dummyfunction("""COMPUTED_VALUE"""),361287)</f>
        <v>361287</v>
      </c>
      <c r="O138" s="84" t="n">
        <f aca="false">IFERROR(__xludf.dummyfunction("""COMPUTED_VALUE"""),46991)</f>
        <v>46991</v>
      </c>
      <c r="P138" s="84" t="n">
        <f aca="false">IFERROR(__xludf.dummyfunction("""COMPUTED_VALUE"""),2988480)</f>
        <v>2988480</v>
      </c>
      <c r="Q138" s="84" t="n">
        <f aca="false">IFERROR(__xludf.dummyfunction("""COMPUTED_VALUE"""),583380)</f>
        <v>583380</v>
      </c>
      <c r="R138" s="84" t="n">
        <f aca="false">IFERROR(__xludf.dummyfunction("""COMPUTED_VALUE"""),665305)</f>
        <v>665305</v>
      </c>
      <c r="S138" s="84" t="n">
        <f aca="false">IFERROR(__xludf.dummyfunction("""COMPUTED_VALUE"""),121003)</f>
        <v>121003</v>
      </c>
      <c r="T138" s="84" t="n">
        <f aca="false">IFERROR(__xludf.dummyfunction("""COMPUTED_VALUE"""),774922)</f>
        <v>774922</v>
      </c>
      <c r="U138" s="84" t="n">
        <f aca="false">IFERROR(__xludf.dummyfunction("""COMPUTED_VALUE"""),610273)</f>
        <v>610273</v>
      </c>
      <c r="V138" s="84" t="n">
        <f aca="false">IFERROR(__xludf.dummyfunction("""COMPUTED_VALUE"""),249409)</f>
        <v>249409</v>
      </c>
      <c r="W138" s="84" t="n">
        <f aca="false">IFERROR(__xludf.dummyfunction("""COMPUTED_VALUE"""),1541653)</f>
        <v>1541653</v>
      </c>
      <c r="X138" s="84" t="n">
        <f aca="false">IFERROR(__xludf.dummyfunction("""COMPUTED_VALUE"""),1781371)</f>
        <v>1781371</v>
      </c>
      <c r="Y138" s="84" t="n">
        <f aca="false">IFERROR(__xludf.dummyfunction("""COMPUTED_VALUE"""),2650330)</f>
        <v>2650330</v>
      </c>
      <c r="Z138" s="84" t="n">
        <f aca="false">IFERROR(__xludf.dummyfunction("""COMPUTED_VALUE"""),1276729)</f>
        <v>1276729</v>
      </c>
      <c r="AA138" s="84" t="n">
        <f aca="false">IFERROR(__xludf.dummyfunction("""COMPUTED_VALUE"""),206975)</f>
        <v>206975</v>
      </c>
      <c r="AB138" s="84" t="n">
        <f aca="false">IFERROR(__xludf.dummyfunction("""COMPUTED_VALUE"""),591482)</f>
        <v>591482</v>
      </c>
      <c r="AC138" s="84" t="n">
        <f aca="false">IFERROR(__xludf.dummyfunction("""COMPUTED_VALUE"""),31539)</f>
        <v>31539</v>
      </c>
      <c r="AD138" s="84" t="n">
        <f aca="false">IFERROR(__xludf.dummyfunction("""COMPUTED_VALUE"""),381654)</f>
        <v>381654</v>
      </c>
      <c r="AE138" s="84" t="n">
        <f aca="false">IFERROR(__xludf.dummyfunction("""COMPUTED_VALUE"""),914988)</f>
        <v>914988</v>
      </c>
      <c r="AF138" s="84" t="n">
        <f aca="false">IFERROR(__xludf.dummyfunction("""COMPUTED_VALUE"""),363046)</f>
        <v>363046</v>
      </c>
      <c r="AG138" s="84" t="n">
        <f aca="false">IFERROR(__xludf.dummyfunction("""COMPUTED_VALUE"""),2089259)</f>
        <v>2089259</v>
      </c>
      <c r="AH138" s="84" t="n">
        <f aca="false">IFERROR(__xludf.dummyfunction("""COMPUTED_VALUE"""),68440)</f>
        <v>68440</v>
      </c>
      <c r="AI138" s="84" t="n">
        <f aca="false">IFERROR(__xludf.dummyfunction("""COMPUTED_VALUE"""),3306813)</f>
        <v>3306813</v>
      </c>
      <c r="AJ138" s="84" t="n">
        <f aca="false">IFERROR(__xludf.dummyfunction("""COMPUTED_VALUE"""),2631468)</f>
        <v>2631468</v>
      </c>
      <c r="AK138" s="84" t="n">
        <f aca="false">IFERROR(__xludf.dummyfunction("""COMPUTED_VALUE"""),94807)</f>
        <v>94807</v>
      </c>
      <c r="AL138" s="84" t="n">
        <f aca="false">IFERROR(__xludf.dummyfunction("""COMPUTED_VALUE"""),3216537)</f>
        <v>3216537</v>
      </c>
      <c r="AM138" s="84" t="n">
        <f aca="false">IFERROR(__xludf.dummyfunction("""COMPUTED_VALUE"""),1122777)</f>
        <v>1122777</v>
      </c>
      <c r="AN138" s="84" t="n">
        <f aca="false">IFERROR(__xludf.dummyfunction("""COMPUTED_VALUE"""),1059645)</f>
        <v>1059645</v>
      </c>
      <c r="AO138" s="84" t="n">
        <f aca="false">IFERROR(__xludf.dummyfunction("""COMPUTED_VALUE"""),2896140)</f>
        <v>2896140</v>
      </c>
      <c r="AP138" s="84" t="n">
        <f aca="false">IFERROR(__xludf.dummyfunction("""COMPUTED_VALUE"""),257399)</f>
        <v>257399</v>
      </c>
      <c r="AQ138" s="84" t="n">
        <f aca="false">IFERROR(__xludf.dummyfunction("""COMPUTED_VALUE"""),1393135)</f>
        <v>1393135</v>
      </c>
      <c r="AR138" s="84" t="n">
        <f aca="false">IFERROR(__xludf.dummyfunction("""COMPUTED_VALUE"""),74050)</f>
        <v>74050</v>
      </c>
      <c r="AS138" s="84" t="n">
        <f aca="false">IFERROR(__xludf.dummyfunction("""COMPUTED_VALUE"""),2065815)</f>
        <v>2065815</v>
      </c>
      <c r="AT138" s="84" t="n">
        <f aca="false">IFERROR(__xludf.dummyfunction("""COMPUTED_VALUE"""),848872)</f>
        <v>848872</v>
      </c>
      <c r="AU138" s="84" t="n">
        <f aca="false">IFERROR(__xludf.dummyfunction("""COMPUTED_VALUE"""),215132)</f>
        <v>215132</v>
      </c>
      <c r="AV138" s="84" t="n">
        <f aca="false">IFERROR(__xludf.dummyfunction("""COMPUTED_VALUE"""),188552)</f>
        <v>188552</v>
      </c>
      <c r="AW138" s="84" t="n">
        <f aca="false">IFERROR(__xludf.dummyfunction("""COMPUTED_VALUE"""),1675417)</f>
        <v>1675417</v>
      </c>
      <c r="AX138" s="84" t="n">
        <f aca="false">IFERROR(__xludf.dummyfunction("""COMPUTED_VALUE"""),1894924)</f>
        <v>1894924</v>
      </c>
      <c r="AY138" s="84" t="n">
        <f aca="false">IFERROR(__xludf.dummyfunction("""COMPUTED_VALUE"""),259483)</f>
        <v>259483</v>
      </c>
      <c r="AZ138" s="84" t="n">
        <f aca="false">IFERROR(__xludf.dummyfunction("""COMPUTED_VALUE"""),1335285)</f>
        <v>1335285</v>
      </c>
      <c r="BA138" s="84" t="n">
        <f aca="false">IFERROR(__xludf.dummyfunction("""COMPUTED_VALUE"""),22422)</f>
        <v>22422</v>
      </c>
    </row>
    <row r="139" customFormat="false" ht="15.75" hidden="false" customHeight="false" outlineLevel="0" collapsed="false">
      <c r="A139" s="78" t="str">
        <f aca="false">IFERROR(__xludf.dummyfunction("""COMPUTED_VALUE"""),"transfer_tax")</f>
        <v>transfer_tax</v>
      </c>
      <c r="B139" s="72" t="n">
        <f aca="false">IFERROR(__xludf.dummyfunction("""COMPUTED_VALUE"""),29307670)</f>
        <v>29307670</v>
      </c>
      <c r="C139" s="82" t="n">
        <f aca="false">IFERROR(__xludf.dummyfunction("""COMPUTED_VALUE"""),484036)</f>
        <v>484036</v>
      </c>
      <c r="D139" s="83" t="n">
        <f aca="false">IFERROR(__xludf.dummyfunction("""COMPUTED_VALUE"""),1)</f>
        <v>1</v>
      </c>
      <c r="E139" s="84" t="n">
        <f aca="false">IFERROR(__xludf.dummyfunction("""COMPUTED_VALUE"""),51)</f>
        <v>51</v>
      </c>
      <c r="F139" s="84" t="n">
        <f aca="false">IFERROR(__xludf.dummyfunction("""COMPUTED_VALUE"""),313411)</f>
        <v>313411</v>
      </c>
      <c r="G139" s="84" t="n">
        <f aca="false">IFERROR(__xludf.dummyfunction("""COMPUTED_VALUE"""),125372)</f>
        <v>125372</v>
      </c>
      <c r="H139" s="84" t="n">
        <f aca="false">IFERROR(__xludf.dummyfunction("""COMPUTED_VALUE"""),1386939)</f>
        <v>1386939</v>
      </c>
      <c r="I139" s="84" t="n">
        <f aca="false">IFERROR(__xludf.dummyfunction("""COMPUTED_VALUE"""),365143)</f>
        <v>365143</v>
      </c>
      <c r="J139" s="84" t="n">
        <f aca="false">IFERROR(__xludf.dummyfunction("""COMPUTED_VALUE"""),79686)</f>
        <v>79686</v>
      </c>
      <c r="K139" s="84" t="n">
        <f aca="false">IFERROR(__xludf.dummyfunction("""COMPUTED_VALUE"""),12482)</f>
        <v>12482</v>
      </c>
      <c r="L139" s="84" t="n">
        <f aca="false">IFERROR(__xludf.dummyfunction("""COMPUTED_VALUE"""),6201224)</f>
        <v>6201224</v>
      </c>
      <c r="M139" s="84" t="n">
        <f aca="false">IFERROR(__xludf.dummyfunction("""COMPUTED_VALUE"""),172007)</f>
        <v>172007</v>
      </c>
      <c r="N139" s="84" t="n">
        <f aca="false">IFERROR(__xludf.dummyfunction("""COMPUTED_VALUE"""),286503)</f>
        <v>286503</v>
      </c>
      <c r="O139" s="84" t="n">
        <f aca="false">IFERROR(__xludf.dummyfunction("""COMPUTED_VALUE"""),6)</f>
        <v>6</v>
      </c>
      <c r="P139" s="84" t="n">
        <f aca="false">IFERROR(__xludf.dummyfunction("""COMPUTED_VALUE"""),2452676)</f>
        <v>2452676</v>
      </c>
      <c r="Q139" s="84" t="n">
        <f aca="false">IFERROR(__xludf.dummyfunction("""COMPUTED_VALUE"""),1952)</f>
        <v>1952</v>
      </c>
      <c r="R139" s="84" t="n">
        <f aca="false">IFERROR(__xludf.dummyfunction("""COMPUTED_VALUE"""),426709)</f>
        <v>426709</v>
      </c>
      <c r="S139" s="84" t="n">
        <f aca="false">IFERROR(__xludf.dummyfunction("""COMPUTED_VALUE"""),1)</f>
        <v>1</v>
      </c>
      <c r="T139" s="84" t="n">
        <f aca="false">IFERROR(__xludf.dummyfunction("""COMPUTED_VALUE"""),371134)</f>
        <v>371134</v>
      </c>
      <c r="U139" s="84" t="n">
        <f aca="false">IFERROR(__xludf.dummyfunction("""COMPUTED_VALUE"""),83)</f>
        <v>83</v>
      </c>
      <c r="V139" s="84" t="n">
        <f aca="false">IFERROR(__xludf.dummyfunction("""COMPUTED_VALUE"""),10926)</f>
        <v>10926</v>
      </c>
      <c r="W139" s="84" t="n">
        <f aca="false">IFERROR(__xludf.dummyfunction("""COMPUTED_VALUE"""),367125)</f>
        <v>367125</v>
      </c>
      <c r="X139" s="84" t="n">
        <f aca="false">IFERROR(__xludf.dummyfunction("""COMPUTED_VALUE"""),768112)</f>
        <v>768112</v>
      </c>
      <c r="Y139" s="84" t="n">
        <f aca="false">IFERROR(__xludf.dummyfunction("""COMPUTED_VALUE"""),1331995)</f>
        <v>1331995</v>
      </c>
      <c r="Z139" s="84" t="n">
        <f aca="false">IFERROR(__xludf.dummyfunction("""COMPUTED_VALUE"""),643048)</f>
        <v>643048</v>
      </c>
      <c r="AA139" s="84" t="n">
        <f aca="false">IFERROR(__xludf.dummyfunction("""COMPUTED_VALUE"""),10)</f>
        <v>10</v>
      </c>
      <c r="AB139" s="84" t="n">
        <f aca="false">IFERROR(__xludf.dummyfunction("""COMPUTED_VALUE"""),42)</f>
        <v>42</v>
      </c>
      <c r="AC139" s="84" t="n">
        <f aca="false">IFERROR(__xludf.dummyfunction("""COMPUTED_VALUE"""),5)</f>
        <v>5</v>
      </c>
      <c r="AD139" s="84" t="n">
        <f aca="false">IFERROR(__xludf.dummyfunction("""COMPUTED_VALUE"""),291145)</f>
        <v>291145</v>
      </c>
      <c r="AE139" s="84" t="n">
        <f aca="false">IFERROR(__xludf.dummyfunction("""COMPUTED_VALUE"""),477240)</f>
        <v>477240</v>
      </c>
      <c r="AF139" s="84" t="n">
        <f aca="false">IFERROR(__xludf.dummyfunction("""COMPUTED_VALUE"""),211782)</f>
        <v>211782</v>
      </c>
      <c r="AG139" s="84" t="n">
        <f aca="false">IFERROR(__xludf.dummyfunction("""COMPUTED_VALUE"""),1250386)</f>
        <v>1250386</v>
      </c>
      <c r="AH139" s="84" t="n">
        <f aca="false">IFERROR(__xludf.dummyfunction("""COMPUTED_VALUE"""),4)</f>
        <v>4</v>
      </c>
      <c r="AI139" s="84" t="n">
        <f aca="false">IFERROR(__xludf.dummyfunction("""COMPUTED_VALUE"""),1106647)</f>
        <v>1106647</v>
      </c>
      <c r="AJ139" s="84" t="n">
        <f aca="false">IFERROR(__xludf.dummyfunction("""COMPUTED_VALUE"""),1844114)</f>
        <v>1844114</v>
      </c>
      <c r="AK139" s="84" t="n">
        <f aca="false">IFERROR(__xludf.dummyfunction("""COMPUTED_VALUE"""),18)</f>
        <v>18</v>
      </c>
      <c r="AL139" s="84" t="n">
        <f aca="false">IFERROR(__xludf.dummyfunction("""COMPUTED_VALUE"""),1272491)</f>
        <v>1272491</v>
      </c>
      <c r="AM139" s="84" t="n">
        <f aca="false">IFERROR(__xludf.dummyfunction("""COMPUTED_VALUE"""),540051)</f>
        <v>540051</v>
      </c>
      <c r="AN139" s="84" t="n">
        <f aca="false">IFERROR(__xludf.dummyfunction("""COMPUTED_VALUE"""),139)</f>
        <v>139</v>
      </c>
      <c r="AO139" s="84" t="n">
        <f aca="false">IFERROR(__xludf.dummyfunction("""COMPUTED_VALUE"""),1836616)</f>
        <v>1836616</v>
      </c>
      <c r="AP139" s="84" t="n">
        <f aca="false">IFERROR(__xludf.dummyfunction("""COMPUTED_VALUE"""),124212)</f>
        <v>124212</v>
      </c>
      <c r="AQ139" s="84" t="n">
        <f aca="false">IFERROR(__xludf.dummyfunction("""COMPUTED_VALUE"""),806560)</f>
        <v>806560</v>
      </c>
      <c r="AR139" s="84" t="n">
        <f aca="false">IFERROR(__xludf.dummyfunction("""COMPUTED_VALUE"""),45827)</f>
        <v>45827</v>
      </c>
      <c r="AS139" s="84" t="n">
        <f aca="false">IFERROR(__xludf.dummyfunction("""COMPUTED_VALUE"""),972534)</f>
        <v>972534</v>
      </c>
      <c r="AT139" s="84" t="n">
        <f aca="false">IFERROR(__xludf.dummyfunction("""COMPUTED_VALUE"""),55)</f>
        <v>55</v>
      </c>
      <c r="AU139" s="84" t="n">
        <f aca="false">IFERROR(__xludf.dummyfunction("""COMPUTED_VALUE"""),7)</f>
        <v>7</v>
      </c>
      <c r="AV139" s="84" t="n">
        <f aca="false">IFERROR(__xludf.dummyfunction("""COMPUTED_VALUE"""),111699)</f>
        <v>111699</v>
      </c>
      <c r="AW139" s="84" t="n">
        <f aca="false">IFERROR(__xludf.dummyfunction("""COMPUTED_VALUE"""),412751)</f>
        <v>412751</v>
      </c>
      <c r="AX139" s="84" t="n">
        <f aca="false">IFERROR(__xludf.dummyfunction("""COMPUTED_VALUE"""),1180323)</f>
        <v>1180323</v>
      </c>
      <c r="AY139" s="84" t="n">
        <f aca="false">IFERROR(__xludf.dummyfunction("""COMPUTED_VALUE"""),94489)</f>
        <v>94489</v>
      </c>
      <c r="AZ139" s="84" t="n">
        <f aca="false">IFERROR(__xludf.dummyfunction("""COMPUTED_VALUE"""),927898)</f>
        <v>927898</v>
      </c>
      <c r="BA139" s="84" t="n">
        <f aca="false">IFERROR(__xludf.dummyfunction("""COMPUTED_VALUE"""),3)</f>
        <v>3</v>
      </c>
    </row>
    <row r="140" customFormat="false" ht="15.75" hidden="false" customHeight="false" outlineLevel="0" collapsed="false">
      <c r="A140" s="78" t="str">
        <f aca="false">IFERROR(__xludf.dummyfunction("""COMPUTED_VALUE"""),"distressed_sale")</f>
        <v>distressed_sale</v>
      </c>
      <c r="B140" s="72" t="n">
        <f aca="false">IFERROR(__xludf.dummyfunction("""COMPUTED_VALUE"""),76608211)</f>
        <v>76608211</v>
      </c>
      <c r="C140" s="82" t="n">
        <f aca="false">IFERROR(__xludf.dummyfunction("""COMPUTED_VALUE"""),943895)</f>
        <v>943895</v>
      </c>
      <c r="D140" s="83" t="n">
        <f aca="false">IFERROR(__xludf.dummyfunction("""COMPUTED_VALUE"""),144012)</f>
        <v>144012</v>
      </c>
      <c r="E140" s="84" t="n">
        <f aca="false">IFERROR(__xludf.dummyfunction("""COMPUTED_VALUE"""),2172110)</f>
        <v>2172110</v>
      </c>
      <c r="F140" s="84" t="n">
        <f aca="false">IFERROR(__xludf.dummyfunction("""COMPUTED_VALUE"""),664868)</f>
        <v>664868</v>
      </c>
      <c r="G140" s="84" t="n">
        <f aca="false">IFERROR(__xludf.dummyfunction("""COMPUTED_VALUE"""),8918350)</f>
        <v>8918350</v>
      </c>
      <c r="H140" s="84" t="n">
        <f aca="false">IFERROR(__xludf.dummyfunction("""COMPUTED_VALUE"""),1645531)</f>
        <v>1645531</v>
      </c>
      <c r="I140" s="84" t="n">
        <f aca="false">IFERROR(__xludf.dummyfunction("""COMPUTED_VALUE"""),878710)</f>
        <v>878710</v>
      </c>
      <c r="J140" s="84" t="n">
        <f aca="false">IFERROR(__xludf.dummyfunction("""COMPUTED_VALUE"""),231279)</f>
        <v>231279</v>
      </c>
      <c r="K140" s="84" t="n">
        <f aca="false">IFERROR(__xludf.dummyfunction("""COMPUTED_VALUE"""),121971)</f>
        <v>121971</v>
      </c>
      <c r="L140" s="84" t="n">
        <f aca="false">IFERROR(__xludf.dummyfunction("""COMPUTED_VALUE"""),6980397)</f>
        <v>6980397</v>
      </c>
      <c r="M140" s="84" t="n">
        <f aca="false">IFERROR(__xludf.dummyfunction("""COMPUTED_VALUE"""),2591031)</f>
        <v>2591031</v>
      </c>
      <c r="N140" s="84" t="n">
        <f aca="false">IFERROR(__xludf.dummyfunction("""COMPUTED_VALUE"""),381580)</f>
        <v>381580</v>
      </c>
      <c r="O140" s="84" t="n">
        <f aca="false">IFERROR(__xludf.dummyfunction("""COMPUTED_VALUE"""),431009)</f>
        <v>431009</v>
      </c>
      <c r="P140" s="84" t="n">
        <f aca="false">IFERROR(__xludf.dummyfunction("""COMPUTED_VALUE"""),2988945)</f>
        <v>2988945</v>
      </c>
      <c r="Q140" s="84" t="n">
        <f aca="false">IFERROR(__xludf.dummyfunction("""COMPUTED_VALUE"""),1437745)</f>
        <v>1437745</v>
      </c>
      <c r="R140" s="84" t="n">
        <f aca="false">IFERROR(__xludf.dummyfunction("""COMPUTED_VALUE"""),625488)</f>
        <v>625488</v>
      </c>
      <c r="S140" s="84" t="n">
        <f aca="false">IFERROR(__xludf.dummyfunction("""COMPUTED_VALUE"""),450883)</f>
        <v>450883</v>
      </c>
      <c r="T140" s="84" t="n">
        <f aca="false">IFERROR(__xludf.dummyfunction("""COMPUTED_VALUE"""),773838)</f>
        <v>773838</v>
      </c>
      <c r="U140" s="84" t="n">
        <f aca="false">IFERROR(__xludf.dummyfunction("""COMPUTED_VALUE"""),634732)</f>
        <v>634732</v>
      </c>
      <c r="V140" s="84" t="n">
        <f aca="false">IFERROR(__xludf.dummyfunction("""COMPUTED_VALUE"""),282166)</f>
        <v>282166</v>
      </c>
      <c r="W140" s="84" t="n">
        <f aca="false">IFERROR(__xludf.dummyfunction("""COMPUTED_VALUE"""),1588036)</f>
        <v>1588036</v>
      </c>
      <c r="X140" s="84" t="n">
        <f aca="false">IFERROR(__xludf.dummyfunction("""COMPUTED_VALUE"""),1691710)</f>
        <v>1691710</v>
      </c>
      <c r="Y140" s="84" t="n">
        <f aca="false">IFERROR(__xludf.dummyfunction("""COMPUTED_VALUE"""),2560999)</f>
        <v>2560999</v>
      </c>
      <c r="Z140" s="84" t="n">
        <f aca="false">IFERROR(__xludf.dummyfunction("""COMPUTED_VALUE"""),1268269)</f>
        <v>1268269</v>
      </c>
      <c r="AA140" s="84" t="n">
        <f aca="false">IFERROR(__xludf.dummyfunction("""COMPUTED_VALUE"""),396872)</f>
        <v>396872</v>
      </c>
      <c r="AB140" s="84" t="n">
        <f aca="false">IFERROR(__xludf.dummyfunction("""COMPUTED_VALUE"""),1426953)</f>
        <v>1426953</v>
      </c>
      <c r="AC140" s="84" t="n">
        <f aca="false">IFERROR(__xludf.dummyfunction("""COMPUTED_VALUE"""),185618)</f>
        <v>185618</v>
      </c>
      <c r="AD140" s="84" t="n">
        <f aca="false">IFERROR(__xludf.dummyfunction("""COMPUTED_VALUE"""),374315)</f>
        <v>374315</v>
      </c>
      <c r="AE140" s="84" t="n">
        <f aca="false">IFERROR(__xludf.dummyfunction("""COMPUTED_VALUE"""),908442)</f>
        <v>908442</v>
      </c>
      <c r="AF140" s="84" t="n">
        <f aca="false">IFERROR(__xludf.dummyfunction("""COMPUTED_VALUE"""),352167)</f>
        <v>352167</v>
      </c>
      <c r="AG140" s="84" t="n">
        <f aca="false">IFERROR(__xludf.dummyfunction("""COMPUTED_VALUE"""),2084035)</f>
        <v>2084035</v>
      </c>
      <c r="AH140" s="84" t="n">
        <f aca="false">IFERROR(__xludf.dummyfunction("""COMPUTED_VALUE"""),422437)</f>
        <v>422437</v>
      </c>
      <c r="AI140" s="84" t="n">
        <f aca="false">IFERROR(__xludf.dummyfunction("""COMPUTED_VALUE"""),3366131)</f>
        <v>3366131</v>
      </c>
      <c r="AJ140" s="84" t="n">
        <f aca="false">IFERROR(__xludf.dummyfunction("""COMPUTED_VALUE"""),2519594)</f>
        <v>2519594</v>
      </c>
      <c r="AK140" s="84" t="n">
        <f aca="false">IFERROR(__xludf.dummyfunction("""COMPUTED_VALUE"""),113615)</f>
        <v>113615</v>
      </c>
      <c r="AL140" s="84" t="n">
        <f aca="false">IFERROR(__xludf.dummyfunction("""COMPUTED_VALUE"""),3238556)</f>
        <v>3238556</v>
      </c>
      <c r="AM140" s="84" t="n">
        <f aca="false">IFERROR(__xludf.dummyfunction("""COMPUTED_VALUE"""),921937)</f>
        <v>921937</v>
      </c>
      <c r="AN140" s="84" t="n">
        <f aca="false">IFERROR(__xludf.dummyfunction("""COMPUTED_VALUE"""),1011749)</f>
        <v>1011749</v>
      </c>
      <c r="AO140" s="84" t="n">
        <f aca="false">IFERROR(__xludf.dummyfunction("""COMPUTED_VALUE"""),2916503)</f>
        <v>2916503</v>
      </c>
      <c r="AP140" s="84" t="n">
        <f aca="false">IFERROR(__xludf.dummyfunction("""COMPUTED_VALUE"""),251037)</f>
        <v>251037</v>
      </c>
      <c r="AQ140" s="84" t="n">
        <f aca="false">IFERROR(__xludf.dummyfunction("""COMPUTED_VALUE"""),1377683)</f>
        <v>1377683</v>
      </c>
      <c r="AR140" s="84" t="n">
        <f aca="false">IFERROR(__xludf.dummyfunction("""COMPUTED_VALUE"""),73869)</f>
        <v>73869</v>
      </c>
      <c r="AS140" s="84" t="n">
        <f aca="false">IFERROR(__xludf.dummyfunction("""COMPUTED_VALUE"""),1946668)</f>
        <v>1946668</v>
      </c>
      <c r="AT140" s="84" t="n">
        <f aca="false">IFERROR(__xludf.dummyfunction("""COMPUTED_VALUE"""),5997021)</f>
        <v>5997021</v>
      </c>
      <c r="AU140" s="84" t="n">
        <f aca="false">IFERROR(__xludf.dummyfunction("""COMPUTED_VALUE"""),803443)</f>
        <v>803443</v>
      </c>
      <c r="AV140" s="84" t="n">
        <f aca="false">IFERROR(__xludf.dummyfunction("""COMPUTED_VALUE"""),184798)</f>
        <v>184798</v>
      </c>
      <c r="AW140" s="84" t="n">
        <f aca="false">IFERROR(__xludf.dummyfunction("""COMPUTED_VALUE"""),1759994)</f>
        <v>1759994</v>
      </c>
      <c r="AX140" s="84" t="n">
        <f aca="false">IFERROR(__xludf.dummyfunction("""COMPUTED_VALUE"""),1918343)</f>
        <v>1918343</v>
      </c>
      <c r="AY140" s="84" t="n">
        <f aca="false">IFERROR(__xludf.dummyfunction("""COMPUTED_VALUE"""),261291)</f>
        <v>261291</v>
      </c>
      <c r="AZ140" s="84" t="n">
        <f aca="false">IFERROR(__xludf.dummyfunction("""COMPUTED_VALUE"""),1287612)</f>
        <v>1287612</v>
      </c>
      <c r="BA140" s="84" t="n">
        <f aca="false">IFERROR(__xludf.dummyfunction("""COMPUTED_VALUE"""),99974)</f>
        <v>99974</v>
      </c>
    </row>
    <row r="141" customFormat="false" ht="15.75" hidden="false" customHeight="false" outlineLevel="0" collapsed="false">
      <c r="A141" s="78" t="str">
        <f aca="false">IFERROR(__xludf.dummyfunction("""COMPUTED_VALUE"""),"real_estate_owned")</f>
        <v>real_estate_owned</v>
      </c>
      <c r="B141" s="72" t="n">
        <f aca="false">IFERROR(__xludf.dummyfunction("""COMPUTED_VALUE"""),76608211)</f>
        <v>76608211</v>
      </c>
      <c r="C141" s="82" t="n">
        <f aca="false">IFERROR(__xludf.dummyfunction("""COMPUTED_VALUE"""),943895)</f>
        <v>943895</v>
      </c>
      <c r="D141" s="83" t="n">
        <f aca="false">IFERROR(__xludf.dummyfunction("""COMPUTED_VALUE"""),144012)</f>
        <v>144012</v>
      </c>
      <c r="E141" s="84" t="n">
        <f aca="false">IFERROR(__xludf.dummyfunction("""COMPUTED_VALUE"""),2172110)</f>
        <v>2172110</v>
      </c>
      <c r="F141" s="84" t="n">
        <f aca="false">IFERROR(__xludf.dummyfunction("""COMPUTED_VALUE"""),664868)</f>
        <v>664868</v>
      </c>
      <c r="G141" s="84" t="n">
        <f aca="false">IFERROR(__xludf.dummyfunction("""COMPUTED_VALUE"""),8918350)</f>
        <v>8918350</v>
      </c>
      <c r="H141" s="84" t="n">
        <f aca="false">IFERROR(__xludf.dummyfunction("""COMPUTED_VALUE"""),1645531)</f>
        <v>1645531</v>
      </c>
      <c r="I141" s="84" t="n">
        <f aca="false">IFERROR(__xludf.dummyfunction("""COMPUTED_VALUE"""),878710)</f>
        <v>878710</v>
      </c>
      <c r="J141" s="84" t="n">
        <f aca="false">IFERROR(__xludf.dummyfunction("""COMPUTED_VALUE"""),231279)</f>
        <v>231279</v>
      </c>
      <c r="K141" s="84" t="n">
        <f aca="false">IFERROR(__xludf.dummyfunction("""COMPUTED_VALUE"""),121971)</f>
        <v>121971</v>
      </c>
      <c r="L141" s="84" t="n">
        <f aca="false">IFERROR(__xludf.dummyfunction("""COMPUTED_VALUE"""),6980397)</f>
        <v>6980397</v>
      </c>
      <c r="M141" s="84" t="n">
        <f aca="false">IFERROR(__xludf.dummyfunction("""COMPUTED_VALUE"""),2591031)</f>
        <v>2591031</v>
      </c>
      <c r="N141" s="84" t="n">
        <f aca="false">IFERROR(__xludf.dummyfunction("""COMPUTED_VALUE"""),381580)</f>
        <v>381580</v>
      </c>
      <c r="O141" s="84" t="n">
        <f aca="false">IFERROR(__xludf.dummyfunction("""COMPUTED_VALUE"""),431009)</f>
        <v>431009</v>
      </c>
      <c r="P141" s="84" t="n">
        <f aca="false">IFERROR(__xludf.dummyfunction("""COMPUTED_VALUE"""),2988945)</f>
        <v>2988945</v>
      </c>
      <c r="Q141" s="84" t="n">
        <f aca="false">IFERROR(__xludf.dummyfunction("""COMPUTED_VALUE"""),1437745)</f>
        <v>1437745</v>
      </c>
      <c r="R141" s="84" t="n">
        <f aca="false">IFERROR(__xludf.dummyfunction("""COMPUTED_VALUE"""),625488)</f>
        <v>625488</v>
      </c>
      <c r="S141" s="84" t="n">
        <f aca="false">IFERROR(__xludf.dummyfunction("""COMPUTED_VALUE"""),450883)</f>
        <v>450883</v>
      </c>
      <c r="T141" s="84" t="n">
        <f aca="false">IFERROR(__xludf.dummyfunction("""COMPUTED_VALUE"""),773838)</f>
        <v>773838</v>
      </c>
      <c r="U141" s="84" t="n">
        <f aca="false">IFERROR(__xludf.dummyfunction("""COMPUTED_VALUE"""),634732)</f>
        <v>634732</v>
      </c>
      <c r="V141" s="84" t="n">
        <f aca="false">IFERROR(__xludf.dummyfunction("""COMPUTED_VALUE"""),282166)</f>
        <v>282166</v>
      </c>
      <c r="W141" s="84" t="n">
        <f aca="false">IFERROR(__xludf.dummyfunction("""COMPUTED_VALUE"""),1588036)</f>
        <v>1588036</v>
      </c>
      <c r="X141" s="84" t="n">
        <f aca="false">IFERROR(__xludf.dummyfunction("""COMPUTED_VALUE"""),1691710)</f>
        <v>1691710</v>
      </c>
      <c r="Y141" s="84" t="n">
        <f aca="false">IFERROR(__xludf.dummyfunction("""COMPUTED_VALUE"""),2560999)</f>
        <v>2560999</v>
      </c>
      <c r="Z141" s="84" t="n">
        <f aca="false">IFERROR(__xludf.dummyfunction("""COMPUTED_VALUE"""),1268269)</f>
        <v>1268269</v>
      </c>
      <c r="AA141" s="84" t="n">
        <f aca="false">IFERROR(__xludf.dummyfunction("""COMPUTED_VALUE"""),396872)</f>
        <v>396872</v>
      </c>
      <c r="AB141" s="84" t="n">
        <f aca="false">IFERROR(__xludf.dummyfunction("""COMPUTED_VALUE"""),1426953)</f>
        <v>1426953</v>
      </c>
      <c r="AC141" s="84" t="n">
        <f aca="false">IFERROR(__xludf.dummyfunction("""COMPUTED_VALUE"""),185618)</f>
        <v>185618</v>
      </c>
      <c r="AD141" s="84" t="n">
        <f aca="false">IFERROR(__xludf.dummyfunction("""COMPUTED_VALUE"""),374315)</f>
        <v>374315</v>
      </c>
      <c r="AE141" s="84" t="n">
        <f aca="false">IFERROR(__xludf.dummyfunction("""COMPUTED_VALUE"""),908442)</f>
        <v>908442</v>
      </c>
      <c r="AF141" s="84" t="n">
        <f aca="false">IFERROR(__xludf.dummyfunction("""COMPUTED_VALUE"""),352167)</f>
        <v>352167</v>
      </c>
      <c r="AG141" s="84" t="n">
        <f aca="false">IFERROR(__xludf.dummyfunction("""COMPUTED_VALUE"""),2084035)</f>
        <v>2084035</v>
      </c>
      <c r="AH141" s="84" t="n">
        <f aca="false">IFERROR(__xludf.dummyfunction("""COMPUTED_VALUE"""),422437)</f>
        <v>422437</v>
      </c>
      <c r="AI141" s="84" t="n">
        <f aca="false">IFERROR(__xludf.dummyfunction("""COMPUTED_VALUE"""),3366131)</f>
        <v>3366131</v>
      </c>
      <c r="AJ141" s="84" t="n">
        <f aca="false">IFERROR(__xludf.dummyfunction("""COMPUTED_VALUE"""),2519594)</f>
        <v>2519594</v>
      </c>
      <c r="AK141" s="84" t="n">
        <f aca="false">IFERROR(__xludf.dummyfunction("""COMPUTED_VALUE"""),113615)</f>
        <v>113615</v>
      </c>
      <c r="AL141" s="84" t="n">
        <f aca="false">IFERROR(__xludf.dummyfunction("""COMPUTED_VALUE"""),3238556)</f>
        <v>3238556</v>
      </c>
      <c r="AM141" s="84" t="n">
        <f aca="false">IFERROR(__xludf.dummyfunction("""COMPUTED_VALUE"""),921937)</f>
        <v>921937</v>
      </c>
      <c r="AN141" s="84" t="n">
        <f aca="false">IFERROR(__xludf.dummyfunction("""COMPUTED_VALUE"""),1011749)</f>
        <v>1011749</v>
      </c>
      <c r="AO141" s="84" t="n">
        <f aca="false">IFERROR(__xludf.dummyfunction("""COMPUTED_VALUE"""),2916503)</f>
        <v>2916503</v>
      </c>
      <c r="AP141" s="84" t="n">
        <f aca="false">IFERROR(__xludf.dummyfunction("""COMPUTED_VALUE"""),251037)</f>
        <v>251037</v>
      </c>
      <c r="AQ141" s="84" t="n">
        <f aca="false">IFERROR(__xludf.dummyfunction("""COMPUTED_VALUE"""),1377683)</f>
        <v>1377683</v>
      </c>
      <c r="AR141" s="84" t="n">
        <f aca="false">IFERROR(__xludf.dummyfunction("""COMPUTED_VALUE"""),73869)</f>
        <v>73869</v>
      </c>
      <c r="AS141" s="84" t="n">
        <f aca="false">IFERROR(__xludf.dummyfunction("""COMPUTED_VALUE"""),1946668)</f>
        <v>1946668</v>
      </c>
      <c r="AT141" s="84" t="n">
        <f aca="false">IFERROR(__xludf.dummyfunction("""COMPUTED_VALUE"""),5997021)</f>
        <v>5997021</v>
      </c>
      <c r="AU141" s="84" t="n">
        <f aca="false">IFERROR(__xludf.dummyfunction("""COMPUTED_VALUE"""),803443)</f>
        <v>803443</v>
      </c>
      <c r="AV141" s="84" t="n">
        <f aca="false">IFERROR(__xludf.dummyfunction("""COMPUTED_VALUE"""),184798)</f>
        <v>184798</v>
      </c>
      <c r="AW141" s="84" t="n">
        <f aca="false">IFERROR(__xludf.dummyfunction("""COMPUTED_VALUE"""),1759994)</f>
        <v>1759994</v>
      </c>
      <c r="AX141" s="84" t="n">
        <f aca="false">IFERROR(__xludf.dummyfunction("""COMPUTED_VALUE"""),1918343)</f>
        <v>1918343</v>
      </c>
      <c r="AY141" s="84" t="n">
        <f aca="false">IFERROR(__xludf.dummyfunction("""COMPUTED_VALUE"""),261291)</f>
        <v>261291</v>
      </c>
      <c r="AZ141" s="84" t="n">
        <f aca="false">IFERROR(__xludf.dummyfunction("""COMPUTED_VALUE"""),1287612)</f>
        <v>1287612</v>
      </c>
      <c r="BA141" s="84" t="n">
        <f aca="false">IFERROR(__xludf.dummyfunction("""COMPUTED_VALUE"""),99974)</f>
        <v>99974</v>
      </c>
    </row>
    <row r="142" customFormat="false" ht="15.75" hidden="false" customHeight="false" outlineLevel="0" collapsed="false">
      <c r="A142" s="78" t="str">
        <f aca="false">IFERROR(__xludf.dummyfunction("""COMPUTED_VALUE"""),"seller_first_name")</f>
        <v>seller_first_name</v>
      </c>
      <c r="B142" s="72" t="n">
        <f aca="false">IFERROR(__xludf.dummyfunction("""COMPUTED_VALUE"""),67130504)</f>
        <v>67130504</v>
      </c>
      <c r="C142" s="82" t="n">
        <f aca="false">IFERROR(__xludf.dummyfunction("""COMPUTED_VALUE"""),812391)</f>
        <v>812391</v>
      </c>
      <c r="D142" s="83" t="n">
        <f aca="false">IFERROR(__xludf.dummyfunction("""COMPUTED_VALUE"""),130900)</f>
        <v>130900</v>
      </c>
      <c r="E142" s="84" t="n">
        <f aca="false">IFERROR(__xludf.dummyfunction("""COMPUTED_VALUE"""),1944220)</f>
        <v>1944220</v>
      </c>
      <c r="F142" s="84" t="n">
        <f aca="false">IFERROR(__xludf.dummyfunction("""COMPUTED_VALUE"""),547346)</f>
        <v>547346</v>
      </c>
      <c r="G142" s="84" t="n">
        <f aca="false">IFERROR(__xludf.dummyfunction("""COMPUTED_VALUE"""),8478826)</f>
        <v>8478826</v>
      </c>
      <c r="H142" s="84" t="n">
        <f aca="false">IFERROR(__xludf.dummyfunction("""COMPUTED_VALUE"""),1454242)</f>
        <v>1454242</v>
      </c>
      <c r="I142" s="84" t="n">
        <f aca="false">IFERROR(__xludf.dummyfunction("""COMPUTED_VALUE"""),784094)</f>
        <v>784094</v>
      </c>
      <c r="J142" s="84" t="n">
        <f aca="false">IFERROR(__xludf.dummyfunction("""COMPUTED_VALUE"""),187290)</f>
        <v>187290</v>
      </c>
      <c r="K142" s="84" t="n">
        <f aca="false">IFERROR(__xludf.dummyfunction("""COMPUTED_VALUE"""),83558)</f>
        <v>83558</v>
      </c>
      <c r="L142" s="84" t="n">
        <f aca="false">IFERROR(__xludf.dummyfunction("""COMPUTED_VALUE"""),6183790)</f>
        <v>6183790</v>
      </c>
      <c r="M142" s="84" t="n">
        <f aca="false">IFERROR(__xludf.dummyfunction("""COMPUTED_VALUE"""),2039142)</f>
        <v>2039142</v>
      </c>
      <c r="N142" s="84" t="n">
        <f aca="false">IFERROR(__xludf.dummyfunction("""COMPUTED_VALUE"""),349792)</f>
        <v>349792</v>
      </c>
      <c r="O142" s="84" t="n">
        <f aca="false">IFERROR(__xludf.dummyfunction("""COMPUTED_VALUE"""),376896)</f>
        <v>376896</v>
      </c>
      <c r="P142" s="84" t="n">
        <f aca="false">IFERROR(__xludf.dummyfunction("""COMPUTED_VALUE"""),2720700)</f>
        <v>2720700</v>
      </c>
      <c r="Q142" s="84" t="n">
        <f aca="false">IFERROR(__xludf.dummyfunction("""COMPUTED_VALUE"""),1267585)</f>
        <v>1267585</v>
      </c>
      <c r="R142" s="84" t="n">
        <f aca="false">IFERROR(__xludf.dummyfunction("""COMPUTED_VALUE"""),533158)</f>
        <v>533158</v>
      </c>
      <c r="S142" s="84" t="n">
        <f aca="false">IFERROR(__xludf.dummyfunction("""COMPUTED_VALUE"""),403471)</f>
        <v>403471</v>
      </c>
      <c r="T142" s="84" t="n">
        <f aca="false">IFERROR(__xludf.dummyfunction("""COMPUTED_VALUE"""),678226)</f>
        <v>678226</v>
      </c>
      <c r="U142" s="84" t="n">
        <f aca="false">IFERROR(__xludf.dummyfunction("""COMPUTED_VALUE"""),484647)</f>
        <v>484647</v>
      </c>
      <c r="V142" s="84" t="n">
        <f aca="false">IFERROR(__xludf.dummyfunction("""COMPUTED_VALUE"""),242682)</f>
        <v>242682</v>
      </c>
      <c r="W142" s="84" t="n">
        <f aca="false">IFERROR(__xludf.dummyfunction("""COMPUTED_VALUE"""),1439228)</f>
        <v>1439228</v>
      </c>
      <c r="X142" s="84" t="n">
        <f aca="false">IFERROR(__xludf.dummyfunction("""COMPUTED_VALUE"""),1497054)</f>
        <v>1497054</v>
      </c>
      <c r="Y142" s="84" t="n">
        <f aca="false">IFERROR(__xludf.dummyfunction("""COMPUTED_VALUE"""),2355665)</f>
        <v>2355665</v>
      </c>
      <c r="Z142" s="84" t="n">
        <f aca="false">IFERROR(__xludf.dummyfunction("""COMPUTED_VALUE"""),1106278)</f>
        <v>1106278</v>
      </c>
      <c r="AA142" s="84" t="n">
        <f aca="false">IFERROR(__xludf.dummyfunction("""COMPUTED_VALUE"""),322127)</f>
        <v>322127</v>
      </c>
      <c r="AB142" s="84" t="n">
        <f aca="false">IFERROR(__xludf.dummyfunction("""COMPUTED_VALUE"""),1306878)</f>
        <v>1306878</v>
      </c>
      <c r="AC142" s="84" t="n">
        <f aca="false">IFERROR(__xludf.dummyfunction("""COMPUTED_VALUE"""),165897)</f>
        <v>165897</v>
      </c>
      <c r="AD142" s="84" t="n">
        <f aca="false">IFERROR(__xludf.dummyfunction("""COMPUTED_VALUE"""),309008)</f>
        <v>309008</v>
      </c>
      <c r="AE142" s="84" t="n">
        <f aca="false">IFERROR(__xludf.dummyfunction("""COMPUTED_VALUE"""),794635)</f>
        <v>794635</v>
      </c>
      <c r="AF142" s="84" t="n">
        <f aca="false">IFERROR(__xludf.dummyfunction("""COMPUTED_VALUE"""),298016)</f>
        <v>298016</v>
      </c>
      <c r="AG142" s="84" t="n">
        <f aca="false">IFERROR(__xludf.dummyfunction("""COMPUTED_VALUE"""),1883251)</f>
        <v>1883251</v>
      </c>
      <c r="AH142" s="84" t="n">
        <f aca="false">IFERROR(__xludf.dummyfunction("""COMPUTED_VALUE"""),379292)</f>
        <v>379292</v>
      </c>
      <c r="AI142" s="84" t="n">
        <f aca="false">IFERROR(__xludf.dummyfunction("""COMPUTED_VALUE"""),2981591)</f>
        <v>2981591</v>
      </c>
      <c r="AJ142" s="84" t="n">
        <f aca="false">IFERROR(__xludf.dummyfunction("""COMPUTED_VALUE"""),2088447)</f>
        <v>2088447</v>
      </c>
      <c r="AK142" s="84" t="n">
        <f aca="false">IFERROR(__xludf.dummyfunction("""COMPUTED_VALUE"""),99099)</f>
        <v>99099</v>
      </c>
      <c r="AL142" s="84" t="n">
        <f aca="false">IFERROR(__xludf.dummyfunction("""COMPUTED_VALUE"""),2979407)</f>
        <v>2979407</v>
      </c>
      <c r="AM142" s="84" t="n">
        <f aca="false">IFERROR(__xludf.dummyfunction("""COMPUTED_VALUE"""),821146)</f>
        <v>821146</v>
      </c>
      <c r="AN142" s="84" t="n">
        <f aca="false">IFERROR(__xludf.dummyfunction("""COMPUTED_VALUE"""),937496)</f>
        <v>937496</v>
      </c>
      <c r="AO142" s="84" t="n">
        <f aca="false">IFERROR(__xludf.dummyfunction("""COMPUTED_VALUE"""),2597518)</f>
        <v>2597518</v>
      </c>
      <c r="AP142" s="84" t="n">
        <f aca="false">IFERROR(__xludf.dummyfunction("""COMPUTED_VALUE"""),225991)</f>
        <v>225991</v>
      </c>
      <c r="AQ142" s="84" t="n">
        <f aca="false">IFERROR(__xludf.dummyfunction("""COMPUTED_VALUE"""),1137303)</f>
        <v>1137303</v>
      </c>
      <c r="AR142" s="84" t="n">
        <f aca="false">IFERROR(__xludf.dummyfunction("""COMPUTED_VALUE"""),63221)</f>
        <v>63221</v>
      </c>
      <c r="AS142" s="84" t="n">
        <f aca="false">IFERROR(__xludf.dummyfunction("""COMPUTED_VALUE"""),1553016)</f>
        <v>1553016</v>
      </c>
      <c r="AT142" s="84" t="n">
        <f aca="false">IFERROR(__xludf.dummyfunction("""COMPUTED_VALUE"""),4793019)</f>
        <v>4793019</v>
      </c>
      <c r="AU142" s="84" t="n">
        <f aca="false">IFERROR(__xludf.dummyfunction("""COMPUTED_VALUE"""),715553)</f>
        <v>715553</v>
      </c>
      <c r="AV142" s="84" t="n">
        <f aca="false">IFERROR(__xludf.dummyfunction("""COMPUTED_VALUE"""),114529)</f>
        <v>114529</v>
      </c>
      <c r="AW142" s="84" t="n">
        <f aca="false">IFERROR(__xludf.dummyfunction("""COMPUTED_VALUE"""),1226371)</f>
        <v>1226371</v>
      </c>
      <c r="AX142" s="84" t="n">
        <f aca="false">IFERROR(__xludf.dummyfunction("""COMPUTED_VALUE"""),1733087)</f>
        <v>1733087</v>
      </c>
      <c r="AY142" s="84" t="n">
        <f aca="false">IFERROR(__xludf.dummyfunction("""COMPUTED_VALUE"""),223487)</f>
        <v>223487</v>
      </c>
      <c r="AZ142" s="84" t="n">
        <f aca="false">IFERROR(__xludf.dummyfunction("""COMPUTED_VALUE"""),1189476)</f>
        <v>1189476</v>
      </c>
      <c r="BA142" s="84" t="n">
        <f aca="false">IFERROR(__xludf.dummyfunction("""COMPUTED_VALUE"""),90462)</f>
        <v>90462</v>
      </c>
    </row>
    <row r="143" customFormat="false" ht="15.75" hidden="false" customHeight="false" outlineLevel="0" collapsed="false">
      <c r="A143" s="78" t="str">
        <f aca="false">IFERROR(__xludf.dummyfunction("""COMPUTED_VALUE"""),"seller_last_name")</f>
        <v>seller_last_name</v>
      </c>
      <c r="B143" s="72" t="n">
        <f aca="false">IFERROR(__xludf.dummyfunction("""COMPUTED_VALUE"""),82143392)</f>
        <v>82143392</v>
      </c>
      <c r="C143" s="82" t="n">
        <f aca="false">IFERROR(__xludf.dummyfunction("""COMPUTED_VALUE"""),1276568)</f>
        <v>1276568</v>
      </c>
      <c r="D143" s="83" t="n">
        <f aca="false">IFERROR(__xludf.dummyfunction("""COMPUTED_VALUE"""),169149)</f>
        <v>169149</v>
      </c>
      <c r="E143" s="84" t="n">
        <f aca="false">IFERROR(__xludf.dummyfunction("""COMPUTED_VALUE"""),2210689)</f>
        <v>2210689</v>
      </c>
      <c r="F143" s="84" t="n">
        <f aca="false">IFERROR(__xludf.dummyfunction("""COMPUTED_VALUE"""),711468)</f>
        <v>711468</v>
      </c>
      <c r="G143" s="84" t="n">
        <f aca="false">IFERROR(__xludf.dummyfunction("""COMPUTED_VALUE"""),8967566)</f>
        <v>8967566</v>
      </c>
      <c r="H143" s="84" t="n">
        <f aca="false">IFERROR(__xludf.dummyfunction("""COMPUTED_VALUE"""),1717797)</f>
        <v>1717797</v>
      </c>
      <c r="I143" s="84" t="n">
        <f aca="false">IFERROR(__xludf.dummyfunction("""COMPUTED_VALUE"""),934741)</f>
        <v>934741</v>
      </c>
      <c r="J143" s="84" t="n">
        <f aca="false">IFERROR(__xludf.dummyfunction("""COMPUTED_VALUE"""),234911)</f>
        <v>234911</v>
      </c>
      <c r="K143" s="84" t="n">
        <f aca="false">IFERROR(__xludf.dummyfunction("""COMPUTED_VALUE"""),126948)</f>
        <v>126948</v>
      </c>
      <c r="L143" s="84" t="n">
        <f aca="false">IFERROR(__xludf.dummyfunction("""COMPUTED_VALUE"""),6967960)</f>
        <v>6967960</v>
      </c>
      <c r="M143" s="84" t="n">
        <f aca="false">IFERROR(__xludf.dummyfunction("""COMPUTED_VALUE"""),2878586)</f>
        <v>2878586</v>
      </c>
      <c r="N143" s="84" t="n">
        <f aca="false">IFERROR(__xludf.dummyfunction("""COMPUTED_VALUE"""),561184)</f>
        <v>561184</v>
      </c>
      <c r="O143" s="84" t="n">
        <f aca="false">IFERROR(__xludf.dummyfunction("""COMPUTED_VALUE"""),474674)</f>
        <v>474674</v>
      </c>
      <c r="P143" s="84" t="n">
        <f aca="false">IFERROR(__xludf.dummyfunction("""COMPUTED_VALUE"""),3123211)</f>
        <v>3123211</v>
      </c>
      <c r="Q143" s="84" t="n">
        <f aca="false">IFERROR(__xludf.dummyfunction("""COMPUTED_VALUE"""),1477270)</f>
        <v>1477270</v>
      </c>
      <c r="R143" s="84" t="n">
        <f aca="false">IFERROR(__xludf.dummyfunction("""COMPUTED_VALUE"""),659872)</f>
        <v>659872</v>
      </c>
      <c r="S143" s="84" t="n">
        <f aca="false">IFERROR(__xludf.dummyfunction("""COMPUTED_VALUE"""),494209)</f>
        <v>494209</v>
      </c>
      <c r="T143" s="84" t="n">
        <f aca="false">IFERROR(__xludf.dummyfunction("""COMPUTED_VALUE"""),847289)</f>
        <v>847289</v>
      </c>
      <c r="U143" s="84" t="n">
        <f aca="false">IFERROR(__xludf.dummyfunction("""COMPUTED_VALUE"""),712230)</f>
        <v>712230</v>
      </c>
      <c r="V143" s="84" t="n">
        <f aca="false">IFERROR(__xludf.dummyfunction("""COMPUTED_VALUE"""),323504)</f>
        <v>323504</v>
      </c>
      <c r="W143" s="84" t="n">
        <f aca="false">IFERROR(__xludf.dummyfunction("""COMPUTED_VALUE"""),1692733)</f>
        <v>1692733</v>
      </c>
      <c r="X143" s="84" t="n">
        <f aca="false">IFERROR(__xludf.dummyfunction("""COMPUTED_VALUE"""),1835390)</f>
        <v>1835390</v>
      </c>
      <c r="Y143" s="84" t="n">
        <f aca="false">IFERROR(__xludf.dummyfunction("""COMPUTED_VALUE"""),2595795)</f>
        <v>2595795</v>
      </c>
      <c r="Z143" s="84" t="n">
        <f aca="false">IFERROR(__xludf.dummyfunction("""COMPUTED_VALUE"""),1352557)</f>
        <v>1352557</v>
      </c>
      <c r="AA143" s="84" t="n">
        <f aca="false">IFERROR(__xludf.dummyfunction("""COMPUTED_VALUE"""),660896)</f>
        <v>660896</v>
      </c>
      <c r="AB143" s="84" t="n">
        <f aca="false">IFERROR(__xludf.dummyfunction("""COMPUTED_VALUE"""),1651523)</f>
        <v>1651523</v>
      </c>
      <c r="AC143" s="84" t="n">
        <f aca="false">IFERROR(__xludf.dummyfunction("""COMPUTED_VALUE"""),206521)</f>
        <v>206521</v>
      </c>
      <c r="AD143" s="84" t="n">
        <f aca="false">IFERROR(__xludf.dummyfunction("""COMPUTED_VALUE"""),396977)</f>
        <v>396977</v>
      </c>
      <c r="AE143" s="84" t="n">
        <f aca="false">IFERROR(__xludf.dummyfunction("""COMPUTED_VALUE"""),924124)</f>
        <v>924124</v>
      </c>
      <c r="AF143" s="84" t="n">
        <f aca="false">IFERROR(__xludf.dummyfunction("""COMPUTED_VALUE"""),373072)</f>
        <v>373072</v>
      </c>
      <c r="AG143" s="84" t="n">
        <f aca="false">IFERROR(__xludf.dummyfunction("""COMPUTED_VALUE"""),2150864)</f>
        <v>2150864</v>
      </c>
      <c r="AH143" s="84" t="n">
        <f aca="false">IFERROR(__xludf.dummyfunction("""COMPUTED_VALUE"""),523131)</f>
        <v>523131</v>
      </c>
      <c r="AI143" s="84" t="n">
        <f aca="false">IFERROR(__xludf.dummyfunction("""COMPUTED_VALUE"""),3633103)</f>
        <v>3633103</v>
      </c>
      <c r="AJ143" s="84" t="n">
        <f aca="false">IFERROR(__xludf.dummyfunction("""COMPUTED_VALUE"""),2804834)</f>
        <v>2804834</v>
      </c>
      <c r="AK143" s="84" t="n">
        <f aca="false">IFERROR(__xludf.dummyfunction("""COMPUTED_VALUE"""),126546)</f>
        <v>126546</v>
      </c>
      <c r="AL143" s="84" t="n">
        <f aca="false">IFERROR(__xludf.dummyfunction("""COMPUTED_VALUE"""),3277189)</f>
        <v>3277189</v>
      </c>
      <c r="AM143" s="84" t="n">
        <f aca="false">IFERROR(__xludf.dummyfunction("""COMPUTED_VALUE"""),1107917)</f>
        <v>1107917</v>
      </c>
      <c r="AN143" s="84" t="n">
        <f aca="false">IFERROR(__xludf.dummyfunction("""COMPUTED_VALUE"""),1126676)</f>
        <v>1126676</v>
      </c>
      <c r="AO143" s="84" t="n">
        <f aca="false">IFERROR(__xludf.dummyfunction("""COMPUTED_VALUE"""),3169931)</f>
        <v>3169931</v>
      </c>
      <c r="AP143" s="84" t="n">
        <f aca="false">IFERROR(__xludf.dummyfunction("""COMPUTED_VALUE"""),275762)</f>
        <v>275762</v>
      </c>
      <c r="AQ143" s="84" t="n">
        <f aca="false">IFERROR(__xludf.dummyfunction("""COMPUTED_VALUE"""),1522349)</f>
        <v>1522349</v>
      </c>
      <c r="AR143" s="84" t="n">
        <f aca="false">IFERROR(__xludf.dummyfunction("""COMPUTED_VALUE"""),82657)</f>
        <v>82657</v>
      </c>
      <c r="AS143" s="84" t="n">
        <f aca="false">IFERROR(__xludf.dummyfunction("""COMPUTED_VALUE"""),2163318)</f>
        <v>2163318</v>
      </c>
      <c r="AT143" s="84" t="n">
        <f aca="false">IFERROR(__xludf.dummyfunction("""COMPUTED_VALUE"""),6391287)</f>
        <v>6391287</v>
      </c>
      <c r="AU143" s="84" t="n">
        <f aca="false">IFERROR(__xludf.dummyfunction("""COMPUTED_VALUE"""),895959)</f>
        <v>895959</v>
      </c>
      <c r="AV143" s="84" t="n">
        <f aca="false">IFERROR(__xludf.dummyfunction("""COMPUTED_VALUE"""),229015)</f>
        <v>229015</v>
      </c>
      <c r="AW143" s="84" t="n">
        <f aca="false">IFERROR(__xludf.dummyfunction("""COMPUTED_VALUE"""),2069377)</f>
        <v>2069377</v>
      </c>
      <c r="AX143" s="84" t="n">
        <f aca="false">IFERROR(__xludf.dummyfunction("""COMPUTED_VALUE"""),2002323)</f>
        <v>2002323</v>
      </c>
      <c r="AY143" s="84" t="n">
        <f aca="false">IFERROR(__xludf.dummyfunction("""COMPUTED_VALUE"""),505182)</f>
        <v>505182</v>
      </c>
      <c r="AZ143" s="84" t="n">
        <f aca="false">IFERROR(__xludf.dummyfunction("""COMPUTED_VALUE"""),1415496)</f>
        <v>1415496</v>
      </c>
      <c r="BA143" s="84" t="n">
        <f aca="false">IFERROR(__xludf.dummyfunction("""COMPUTED_VALUE"""),111062)</f>
        <v>111062</v>
      </c>
    </row>
    <row r="144" customFormat="false" ht="15.75" hidden="false" customHeight="false" outlineLevel="0" collapsed="false">
      <c r="A144" s="78" t="str">
        <f aca="false">IFERROR(__xludf.dummyfunction("""COMPUTED_VALUE"""),"seller2_first_name")</f>
        <v>seller2_first_name</v>
      </c>
      <c r="B144" s="72" t="n">
        <f aca="false">IFERROR(__xludf.dummyfunction("""COMPUTED_VALUE"""),46090380)</f>
        <v>46090380</v>
      </c>
      <c r="C144" s="82" t="n">
        <f aca="false">IFERROR(__xludf.dummyfunction("""COMPUTED_VALUE"""),457604)</f>
        <v>457604</v>
      </c>
      <c r="D144" s="83" t="n">
        <f aca="false">IFERROR(__xludf.dummyfunction("""COMPUTED_VALUE"""),93423)</f>
        <v>93423</v>
      </c>
      <c r="E144" s="84" t="n">
        <f aca="false">IFERROR(__xludf.dummyfunction("""COMPUTED_VALUE"""),1529259)</f>
        <v>1529259</v>
      </c>
      <c r="F144" s="84" t="n">
        <f aca="false">IFERROR(__xludf.dummyfunction("""COMPUTED_VALUE"""),396912)</f>
        <v>396912</v>
      </c>
      <c r="G144" s="84" t="n">
        <f aca="false">IFERROR(__xludf.dummyfunction("""COMPUTED_VALUE"""),6855124)</f>
        <v>6855124</v>
      </c>
      <c r="H144" s="84" t="n">
        <f aca="false">IFERROR(__xludf.dummyfunction("""COMPUTED_VALUE"""),1040808)</f>
        <v>1040808</v>
      </c>
      <c r="I144" s="84" t="n">
        <f aca="false">IFERROR(__xludf.dummyfunction("""COMPUTED_VALUE"""),503071)</f>
        <v>503071</v>
      </c>
      <c r="J144" s="84" t="n">
        <f aca="false">IFERROR(__xludf.dummyfunction("""COMPUTED_VALUE"""),129857)</f>
        <v>129857</v>
      </c>
      <c r="K144" s="84" t="n">
        <f aca="false">IFERROR(__xludf.dummyfunction("""COMPUTED_VALUE"""),34272)</f>
        <v>34272</v>
      </c>
      <c r="L144" s="84" t="n">
        <f aca="false">IFERROR(__xludf.dummyfunction("""COMPUTED_VALUE"""),4550507)</f>
        <v>4550507</v>
      </c>
      <c r="M144" s="84" t="n">
        <f aca="false">IFERROR(__xludf.dummyfunction("""COMPUTED_VALUE"""),250387)</f>
        <v>250387</v>
      </c>
      <c r="N144" s="84" t="n">
        <f aca="false">IFERROR(__xludf.dummyfunction("""COMPUTED_VALUE"""),273254)</f>
        <v>273254</v>
      </c>
      <c r="O144" s="84" t="n">
        <f aca="false">IFERROR(__xludf.dummyfunction("""COMPUTED_VALUE"""),277595)</f>
        <v>277595</v>
      </c>
      <c r="P144" s="84" t="n">
        <f aca="false">IFERROR(__xludf.dummyfunction("""COMPUTED_VALUE"""),1932122)</f>
        <v>1932122</v>
      </c>
      <c r="Q144" s="84" t="n">
        <f aca="false">IFERROR(__xludf.dummyfunction("""COMPUTED_VALUE"""),799937)</f>
        <v>799937</v>
      </c>
      <c r="R144" s="84" t="n">
        <f aca="false">IFERROR(__xludf.dummyfunction("""COMPUTED_VALUE"""),418370)</f>
        <v>418370</v>
      </c>
      <c r="S144" s="84" t="n">
        <f aca="false">IFERROR(__xludf.dummyfunction("""COMPUTED_VALUE"""),313466)</f>
        <v>313466</v>
      </c>
      <c r="T144" s="84" t="n">
        <f aca="false">IFERROR(__xludf.dummyfunction("""COMPUTED_VALUE"""),497936)</f>
        <v>497936</v>
      </c>
      <c r="U144" s="84" t="n">
        <f aca="false">IFERROR(__xludf.dummyfunction("""COMPUTED_VALUE"""),295642)</f>
        <v>295642</v>
      </c>
      <c r="V144" s="84" t="n">
        <f aca="false">IFERROR(__xludf.dummyfunction("""COMPUTED_VALUE"""),161873)</f>
        <v>161873</v>
      </c>
      <c r="W144" s="84" t="n">
        <f aca="false">IFERROR(__xludf.dummyfunction("""COMPUTED_VALUE"""),572117)</f>
        <v>572117</v>
      </c>
      <c r="X144" s="84" t="n">
        <f aca="false">IFERROR(__xludf.dummyfunction("""COMPUTED_VALUE"""),1217161)</f>
        <v>1217161</v>
      </c>
      <c r="Y144" s="84" t="n">
        <f aca="false">IFERROR(__xludf.dummyfunction("""COMPUTED_VALUE"""),1733400)</f>
        <v>1733400</v>
      </c>
      <c r="Z144" s="84" t="n">
        <f aca="false">IFERROR(__xludf.dummyfunction("""COMPUTED_VALUE"""),886334)</f>
        <v>886334</v>
      </c>
      <c r="AA144" s="84" t="n">
        <f aca="false">IFERROR(__xludf.dummyfunction("""COMPUTED_VALUE"""),178973)</f>
        <v>178973</v>
      </c>
      <c r="AB144" s="84" t="n">
        <f aca="false">IFERROR(__xludf.dummyfunction("""COMPUTED_VALUE"""),994288)</f>
        <v>994288</v>
      </c>
      <c r="AC144" s="84" t="n">
        <f aca="false">IFERROR(__xludf.dummyfunction("""COMPUTED_VALUE"""),110117)</f>
        <v>110117</v>
      </c>
      <c r="AD144" s="84" t="n">
        <f aca="false">IFERROR(__xludf.dummyfunction("""COMPUTED_VALUE"""),227394)</f>
        <v>227394</v>
      </c>
      <c r="AE144" s="84" t="n">
        <f aca="false">IFERROR(__xludf.dummyfunction("""COMPUTED_VALUE"""),617634)</f>
        <v>617634</v>
      </c>
      <c r="AF144" s="84" t="n">
        <f aca="false">IFERROR(__xludf.dummyfunction("""COMPUTED_VALUE"""),217668)</f>
        <v>217668</v>
      </c>
      <c r="AG144" s="84" t="n">
        <f aca="false">IFERROR(__xludf.dummyfunction("""COMPUTED_VALUE"""),1117174)</f>
        <v>1117174</v>
      </c>
      <c r="AH144" s="84" t="n">
        <f aca="false">IFERROR(__xludf.dummyfunction("""COMPUTED_VALUE"""),252482)</f>
        <v>252482</v>
      </c>
      <c r="AI144" s="84" t="n">
        <f aca="false">IFERROR(__xludf.dummyfunction("""COMPUTED_VALUE"""),1518636)</f>
        <v>1518636</v>
      </c>
      <c r="AJ144" s="84" t="n">
        <f aca="false">IFERROR(__xludf.dummyfunction("""COMPUTED_VALUE"""),1577641)</f>
        <v>1577641</v>
      </c>
      <c r="AK144" s="84" t="n">
        <f aca="false">IFERROR(__xludf.dummyfunction("""COMPUTED_VALUE"""),77483)</f>
        <v>77483</v>
      </c>
      <c r="AL144" s="84" t="n">
        <f aca="false">IFERROR(__xludf.dummyfunction("""COMPUTED_VALUE"""),2102371)</f>
        <v>2102371</v>
      </c>
      <c r="AM144" s="84" t="n">
        <f aca="false">IFERROR(__xludf.dummyfunction("""COMPUTED_VALUE"""),637988)</f>
        <v>637988</v>
      </c>
      <c r="AN144" s="84" t="n">
        <f aca="false">IFERROR(__xludf.dummyfunction("""COMPUTED_VALUE"""),678191)</f>
        <v>678191</v>
      </c>
      <c r="AO144" s="84" t="n">
        <f aca="false">IFERROR(__xludf.dummyfunction("""COMPUTED_VALUE"""),1867759)</f>
        <v>1867759</v>
      </c>
      <c r="AP144" s="84" t="n">
        <f aca="false">IFERROR(__xludf.dummyfunction("""COMPUTED_VALUE"""),154080)</f>
        <v>154080</v>
      </c>
      <c r="AQ144" s="84" t="n">
        <f aca="false">IFERROR(__xludf.dummyfunction("""COMPUTED_VALUE"""),681473)</f>
        <v>681473</v>
      </c>
      <c r="AR144" s="84" t="n">
        <f aca="false">IFERROR(__xludf.dummyfunction("""COMPUTED_VALUE"""),43745)</f>
        <v>43745</v>
      </c>
      <c r="AS144" s="84" t="n">
        <f aca="false">IFERROR(__xludf.dummyfunction("""COMPUTED_VALUE"""),710669)</f>
        <v>710669</v>
      </c>
      <c r="AT144" s="84" t="n">
        <f aca="false">IFERROR(__xludf.dummyfunction("""COMPUTED_VALUE"""),3436192)</f>
        <v>3436192</v>
      </c>
      <c r="AU144" s="84" t="n">
        <f aca="false">IFERROR(__xludf.dummyfunction("""COMPUTED_VALUE"""),580992)</f>
        <v>580992</v>
      </c>
      <c r="AV144" s="84" t="n">
        <f aca="false">IFERROR(__xludf.dummyfunction("""COMPUTED_VALUE"""),68253)</f>
        <v>68253</v>
      </c>
      <c r="AW144" s="84" t="n">
        <f aca="false">IFERROR(__xludf.dummyfunction("""COMPUTED_VALUE"""),710120)</f>
        <v>710120</v>
      </c>
      <c r="AX144" s="84" t="n">
        <f aca="false">IFERROR(__xludf.dummyfunction("""COMPUTED_VALUE"""),1315741)</f>
        <v>1315741</v>
      </c>
      <c r="AY144" s="84" t="n">
        <f aca="false">IFERROR(__xludf.dummyfunction("""COMPUTED_VALUE"""),123595)</f>
        <v>123595</v>
      </c>
      <c r="AZ144" s="84" t="n">
        <f aca="false">IFERROR(__xludf.dummyfunction("""COMPUTED_VALUE"""),804293)</f>
        <v>804293</v>
      </c>
      <c r="BA144" s="84" t="n">
        <f aca="false">IFERROR(__xludf.dummyfunction("""COMPUTED_VALUE"""),64997)</f>
        <v>64997</v>
      </c>
    </row>
    <row r="145" customFormat="false" ht="15.75" hidden="false" customHeight="false" outlineLevel="0" collapsed="false">
      <c r="A145" s="78" t="str">
        <f aca="false">IFERROR(__xludf.dummyfunction("""COMPUTED_VALUE"""),"seller2_last_name")</f>
        <v>seller2_last_name</v>
      </c>
      <c r="B145" s="72" t="n">
        <f aca="false">IFERROR(__xludf.dummyfunction("""COMPUTED_VALUE"""),51046782)</f>
        <v>51046782</v>
      </c>
      <c r="C145" s="82" t="n">
        <f aca="false">IFERROR(__xludf.dummyfunction("""COMPUTED_VALUE"""),510200)</f>
        <v>510200</v>
      </c>
      <c r="D145" s="83" t="n">
        <f aca="false">IFERROR(__xludf.dummyfunction("""COMPUTED_VALUE"""),102321)</f>
        <v>102321</v>
      </c>
      <c r="E145" s="84" t="n">
        <f aca="false">IFERROR(__xludf.dummyfunction("""COMPUTED_VALUE"""),1737533)</f>
        <v>1737533</v>
      </c>
      <c r="F145" s="84" t="n">
        <f aca="false">IFERROR(__xludf.dummyfunction("""COMPUTED_VALUE"""),436132)</f>
        <v>436132</v>
      </c>
      <c r="G145" s="84" t="n">
        <f aca="false">IFERROR(__xludf.dummyfunction("""COMPUTED_VALUE"""),7472562)</f>
        <v>7472562</v>
      </c>
      <c r="H145" s="84" t="n">
        <f aca="false">IFERROR(__xludf.dummyfunction("""COMPUTED_VALUE"""),1127167)</f>
        <v>1127167</v>
      </c>
      <c r="I145" s="84" t="n">
        <f aca="false">IFERROR(__xludf.dummyfunction("""COMPUTED_VALUE"""),524064)</f>
        <v>524064</v>
      </c>
      <c r="J145" s="84" t="n">
        <f aca="false">IFERROR(__xludf.dummyfunction("""COMPUTED_VALUE"""),146333)</f>
        <v>146333</v>
      </c>
      <c r="K145" s="84" t="n">
        <f aca="false">IFERROR(__xludf.dummyfunction("""COMPUTED_VALUE"""),46341)</f>
        <v>46341</v>
      </c>
      <c r="L145" s="84" t="n">
        <f aca="false">IFERROR(__xludf.dummyfunction("""COMPUTED_VALUE"""),4914063)</f>
        <v>4914063</v>
      </c>
      <c r="M145" s="84" t="n">
        <f aca="false">IFERROR(__xludf.dummyfunction("""COMPUTED_VALUE"""),268706)</f>
        <v>268706</v>
      </c>
      <c r="N145" s="84" t="n">
        <f aca="false">IFERROR(__xludf.dummyfunction("""COMPUTED_VALUE"""),315830)</f>
        <v>315830</v>
      </c>
      <c r="O145" s="84" t="n">
        <f aca="false">IFERROR(__xludf.dummyfunction("""COMPUTED_VALUE"""),315905)</f>
        <v>315905</v>
      </c>
      <c r="P145" s="84" t="n">
        <f aca="false">IFERROR(__xludf.dummyfunction("""COMPUTED_VALUE"""),2296661)</f>
        <v>2296661</v>
      </c>
      <c r="Q145" s="84" t="n">
        <f aca="false">IFERROR(__xludf.dummyfunction("""COMPUTED_VALUE"""),934656)</f>
        <v>934656</v>
      </c>
      <c r="R145" s="84" t="n">
        <f aca="false">IFERROR(__xludf.dummyfunction("""COMPUTED_VALUE"""),446587)</f>
        <v>446587</v>
      </c>
      <c r="S145" s="84" t="n">
        <f aca="false">IFERROR(__xludf.dummyfunction("""COMPUTED_VALUE"""),340326)</f>
        <v>340326</v>
      </c>
      <c r="T145" s="84" t="n">
        <f aca="false">IFERROR(__xludf.dummyfunction("""COMPUTED_VALUE"""),539302)</f>
        <v>539302</v>
      </c>
      <c r="U145" s="84" t="n">
        <f aca="false">IFERROR(__xludf.dummyfunction("""COMPUTED_VALUE"""),320101)</f>
        <v>320101</v>
      </c>
      <c r="V145" s="84" t="n">
        <f aca="false">IFERROR(__xludf.dummyfunction("""COMPUTED_VALUE"""),168241)</f>
        <v>168241</v>
      </c>
      <c r="W145" s="84" t="n">
        <f aca="false">IFERROR(__xludf.dummyfunction("""COMPUTED_VALUE"""),665476)</f>
        <v>665476</v>
      </c>
      <c r="X145" s="84" t="n">
        <f aca="false">IFERROR(__xludf.dummyfunction("""COMPUTED_VALUE"""),1258390)</f>
        <v>1258390</v>
      </c>
      <c r="Y145" s="84" t="n">
        <f aca="false">IFERROR(__xludf.dummyfunction("""COMPUTED_VALUE"""),1927791)</f>
        <v>1927791</v>
      </c>
      <c r="Z145" s="84" t="n">
        <f aca="false">IFERROR(__xludf.dummyfunction("""COMPUTED_VALUE"""),927423)</f>
        <v>927423</v>
      </c>
      <c r="AA145" s="84" t="n">
        <f aca="false">IFERROR(__xludf.dummyfunction("""COMPUTED_VALUE"""),191693)</f>
        <v>191693</v>
      </c>
      <c r="AB145" s="84" t="n">
        <f aca="false">IFERROR(__xludf.dummyfunction("""COMPUTED_VALUE"""),1074391)</f>
        <v>1074391</v>
      </c>
      <c r="AC145" s="84" t="n">
        <f aca="false">IFERROR(__xludf.dummyfunction("""COMPUTED_VALUE"""),121048)</f>
        <v>121048</v>
      </c>
      <c r="AD145" s="84" t="n">
        <f aca="false">IFERROR(__xludf.dummyfunction("""COMPUTED_VALUE"""),252373)</f>
        <v>252373</v>
      </c>
      <c r="AE145" s="84" t="n">
        <f aca="false">IFERROR(__xludf.dummyfunction("""COMPUTED_VALUE"""),685090)</f>
        <v>685090</v>
      </c>
      <c r="AF145" s="84" t="n">
        <f aca="false">IFERROR(__xludf.dummyfunction("""COMPUTED_VALUE"""),231486)</f>
        <v>231486</v>
      </c>
      <c r="AG145" s="84" t="n">
        <f aca="false">IFERROR(__xludf.dummyfunction("""COMPUTED_VALUE"""),1265436)</f>
        <v>1265436</v>
      </c>
      <c r="AH145" s="84" t="n">
        <f aca="false">IFERROR(__xludf.dummyfunction("""COMPUTED_VALUE"""),285496)</f>
        <v>285496</v>
      </c>
      <c r="AI145" s="84" t="n">
        <f aca="false">IFERROR(__xludf.dummyfunction("""COMPUTED_VALUE"""),1663230)</f>
        <v>1663230</v>
      </c>
      <c r="AJ145" s="84" t="n">
        <f aca="false">IFERROR(__xludf.dummyfunction("""COMPUTED_VALUE"""),1695887)</f>
        <v>1695887</v>
      </c>
      <c r="AK145" s="84" t="n">
        <f aca="false">IFERROR(__xludf.dummyfunction("""COMPUTED_VALUE"""),82900)</f>
        <v>82900</v>
      </c>
      <c r="AL145" s="84" t="n">
        <f aca="false">IFERROR(__xludf.dummyfunction("""COMPUTED_VALUE"""),2400989)</f>
        <v>2400989</v>
      </c>
      <c r="AM145" s="84" t="n">
        <f aca="false">IFERROR(__xludf.dummyfunction("""COMPUTED_VALUE"""),694137)</f>
        <v>694137</v>
      </c>
      <c r="AN145" s="84" t="n">
        <f aca="false">IFERROR(__xludf.dummyfunction("""COMPUTED_VALUE"""),769955)</f>
        <v>769955</v>
      </c>
      <c r="AO145" s="84" t="n">
        <f aca="false">IFERROR(__xludf.dummyfunction("""COMPUTED_VALUE"""),2119199)</f>
        <v>2119199</v>
      </c>
      <c r="AP145" s="84" t="n">
        <f aca="false">IFERROR(__xludf.dummyfunction("""COMPUTED_VALUE"""),163459)</f>
        <v>163459</v>
      </c>
      <c r="AQ145" s="84" t="n">
        <f aca="false">IFERROR(__xludf.dummyfunction("""COMPUTED_VALUE"""),812112)</f>
        <v>812112</v>
      </c>
      <c r="AR145" s="84" t="n">
        <f aca="false">IFERROR(__xludf.dummyfunction("""COMPUTED_VALUE"""),46886)</f>
        <v>46886</v>
      </c>
      <c r="AS145" s="84" t="n">
        <f aca="false">IFERROR(__xludf.dummyfunction("""COMPUTED_VALUE"""),776949)</f>
        <v>776949</v>
      </c>
      <c r="AT145" s="84" t="n">
        <f aca="false">IFERROR(__xludf.dummyfunction("""COMPUTED_VALUE"""),3869063)</f>
        <v>3869063</v>
      </c>
      <c r="AU145" s="84" t="n">
        <f aca="false">IFERROR(__xludf.dummyfunction("""COMPUTED_VALUE"""),631318)</f>
        <v>631318</v>
      </c>
      <c r="AV145" s="84" t="n">
        <f aca="false">IFERROR(__xludf.dummyfunction("""COMPUTED_VALUE"""),118061)</f>
        <v>118061</v>
      </c>
      <c r="AW145" s="84" t="n">
        <f aca="false">IFERROR(__xludf.dummyfunction("""COMPUTED_VALUE"""),785670)</f>
        <v>785670</v>
      </c>
      <c r="AX145" s="84" t="n">
        <f aca="false">IFERROR(__xludf.dummyfunction("""COMPUTED_VALUE"""),1473963)</f>
        <v>1473963</v>
      </c>
      <c r="AY145" s="84" t="n">
        <f aca="false">IFERROR(__xludf.dummyfunction("""COMPUTED_VALUE"""),130953)</f>
        <v>130953</v>
      </c>
      <c r="AZ145" s="84" t="n">
        <f aca="false">IFERROR(__xludf.dummyfunction("""COMPUTED_VALUE"""),891009)</f>
        <v>891009</v>
      </c>
      <c r="BA145" s="84" t="n">
        <f aca="false">IFERROR(__xludf.dummyfunction("""COMPUTED_VALUE"""),71918)</f>
        <v>71918</v>
      </c>
    </row>
    <row r="146" customFormat="false" ht="15.75" hidden="false" customHeight="false" outlineLevel="0" collapsed="false">
      <c r="A146" s="78" t="str">
        <f aca="false">IFERROR(__xludf.dummyfunction("""COMPUTED_VALUE"""),"seller_address")</f>
        <v>seller_address</v>
      </c>
      <c r="B146" s="72" t="n">
        <f aca="false">IFERROR(__xludf.dummyfunction("""COMPUTED_VALUE"""),35946583)</f>
        <v>35946583</v>
      </c>
      <c r="C146" s="82" t="n">
        <f aca="false">IFERROR(__xludf.dummyfunction("""COMPUTED_VALUE"""),432334)</f>
        <v>432334</v>
      </c>
      <c r="D146" s="83" t="n">
        <f aca="false">IFERROR(__xludf.dummyfunction("""COMPUTED_VALUE"""),137745)</f>
        <v>137745</v>
      </c>
      <c r="E146" s="84" t="n">
        <f aca="false">IFERROR(__xludf.dummyfunction("""COMPUTED_VALUE"""),1464359)</f>
        <v>1464359</v>
      </c>
      <c r="F146" s="84" t="n">
        <f aca="false">IFERROR(__xludf.dummyfunction("""COMPUTED_VALUE"""),280641)</f>
        <v>280641</v>
      </c>
      <c r="G146" s="84" t="n">
        <f aca="false">IFERROR(__xludf.dummyfunction("""COMPUTED_VALUE"""),5563668)</f>
        <v>5563668</v>
      </c>
      <c r="H146" s="84" t="n">
        <f aca="false">IFERROR(__xludf.dummyfunction("""COMPUTED_VALUE"""),661436)</f>
        <v>661436</v>
      </c>
      <c r="I146" s="84" t="n">
        <f aca="false">IFERROR(__xludf.dummyfunction("""COMPUTED_VALUE"""),2)</f>
        <v>2</v>
      </c>
      <c r="J146" s="84" t="n">
        <f aca="false">IFERROR(__xludf.dummyfunction("""COMPUTED_VALUE"""),90330)</f>
        <v>90330</v>
      </c>
      <c r="K146" s="84" t="n">
        <f aca="false">IFERROR(__xludf.dummyfunction("""COMPUTED_VALUE"""),0)</f>
        <v>0</v>
      </c>
      <c r="L146" s="84" t="n">
        <f aca="false">IFERROR(__xludf.dummyfunction("""COMPUTED_VALUE"""),5720668)</f>
        <v>5720668</v>
      </c>
      <c r="M146" s="84" t="n">
        <f aca="false">IFERROR(__xludf.dummyfunction("""COMPUTED_VALUE"""),248566)</f>
        <v>248566</v>
      </c>
      <c r="N146" s="84" t="n">
        <f aca="false">IFERROR(__xludf.dummyfunction("""COMPUTED_VALUE"""),273237)</f>
        <v>273237</v>
      </c>
      <c r="O146" s="84" t="n">
        <f aca="false">IFERROR(__xludf.dummyfunction("""COMPUTED_VALUE"""),84223)</f>
        <v>84223</v>
      </c>
      <c r="P146" s="84" t="n">
        <f aca="false">IFERROR(__xludf.dummyfunction("""COMPUTED_VALUE"""),1552986)</f>
        <v>1552986</v>
      </c>
      <c r="Q146" s="84" t="n">
        <f aca="false">IFERROR(__xludf.dummyfunction("""COMPUTED_VALUE"""),286721)</f>
        <v>286721</v>
      </c>
      <c r="R146" s="84" t="n">
        <f aca="false">IFERROR(__xludf.dummyfunction("""COMPUTED_VALUE"""),70946)</f>
        <v>70946</v>
      </c>
      <c r="S146" s="84" t="n">
        <f aca="false">IFERROR(__xludf.dummyfunction("""COMPUTED_VALUE"""),67815)</f>
        <v>67815</v>
      </c>
      <c r="T146" s="84" t="n">
        <f aca="false">IFERROR(__xludf.dummyfunction("""COMPUTED_VALUE"""),644107)</f>
        <v>644107</v>
      </c>
      <c r="U146" s="84" t="n">
        <f aca="false">IFERROR(__xludf.dummyfunction("""COMPUTED_VALUE"""),330464)</f>
        <v>330464</v>
      </c>
      <c r="V146" s="84" t="n">
        <f aca="false">IFERROR(__xludf.dummyfunction("""COMPUTED_VALUE"""),0)</f>
        <v>0</v>
      </c>
      <c r="W146" s="84" t="n">
        <f aca="false">IFERROR(__xludf.dummyfunction("""COMPUTED_VALUE"""),153032)</f>
        <v>153032</v>
      </c>
      <c r="X146" s="84" t="n">
        <f aca="false">IFERROR(__xludf.dummyfunction("""COMPUTED_VALUE"""),3)</f>
        <v>3</v>
      </c>
      <c r="Y146" s="84" t="n">
        <f aca="false">IFERROR(__xludf.dummyfunction("""COMPUTED_VALUE"""),2124685)</f>
        <v>2124685</v>
      </c>
      <c r="Z146" s="84" t="n">
        <f aca="false">IFERROR(__xludf.dummyfunction("""COMPUTED_VALUE"""),707543)</f>
        <v>707543</v>
      </c>
      <c r="AA146" s="84" t="n">
        <f aca="false">IFERROR(__xludf.dummyfunction("""COMPUTED_VALUE"""),302157)</f>
        <v>302157</v>
      </c>
      <c r="AB146" s="84" t="n">
        <f aca="false">IFERROR(__xludf.dummyfunction("""COMPUTED_VALUE"""),735860)</f>
        <v>735860</v>
      </c>
      <c r="AC146" s="84" t="n">
        <f aca="false">IFERROR(__xludf.dummyfunction("""COMPUTED_VALUE"""),77245)</f>
        <v>77245</v>
      </c>
      <c r="AD146" s="84" t="n">
        <f aca="false">IFERROR(__xludf.dummyfunction("""COMPUTED_VALUE"""),29213)</f>
        <v>29213</v>
      </c>
      <c r="AE146" s="84" t="n">
        <f aca="false">IFERROR(__xludf.dummyfunction("""COMPUTED_VALUE"""),820849)</f>
        <v>820849</v>
      </c>
      <c r="AF146" s="84" t="n">
        <f aca="false">IFERROR(__xludf.dummyfunction("""COMPUTED_VALUE"""),2)</f>
        <v>2</v>
      </c>
      <c r="AG146" s="84" t="n">
        <f aca="false">IFERROR(__xludf.dummyfunction("""COMPUTED_VALUE"""),1518129)</f>
        <v>1518129</v>
      </c>
      <c r="AH146" s="84" t="n">
        <f aca="false">IFERROR(__xludf.dummyfunction("""COMPUTED_VALUE"""),112324)</f>
        <v>112324</v>
      </c>
      <c r="AI146" s="84" t="n">
        <f aca="false">IFERROR(__xludf.dummyfunction("""COMPUTED_VALUE"""),1892632)</f>
        <v>1892632</v>
      </c>
      <c r="AJ146" s="84" t="n">
        <f aca="false">IFERROR(__xludf.dummyfunction("""COMPUTED_VALUE"""),1615726)</f>
        <v>1615726</v>
      </c>
      <c r="AK146" s="84" t="n">
        <f aca="false">IFERROR(__xludf.dummyfunction("""COMPUTED_VALUE"""),15546)</f>
        <v>15546</v>
      </c>
      <c r="AL146" s="84" t="n">
        <f aca="false">IFERROR(__xludf.dummyfunction("""COMPUTED_VALUE"""),822200)</f>
        <v>822200</v>
      </c>
      <c r="AM146" s="84" t="n">
        <f aca="false">IFERROR(__xludf.dummyfunction("""COMPUTED_VALUE"""),156955)</f>
        <v>156955</v>
      </c>
      <c r="AN146" s="84" t="n">
        <f aca="false">IFERROR(__xludf.dummyfunction("""COMPUTED_VALUE"""),419037)</f>
        <v>419037</v>
      </c>
      <c r="AO146" s="84" t="n">
        <f aca="false">IFERROR(__xludf.dummyfunction("""COMPUTED_VALUE"""),1091147)</f>
        <v>1091147</v>
      </c>
      <c r="AP146" s="84" t="n">
        <f aca="false">IFERROR(__xludf.dummyfunction("""COMPUTED_VALUE"""),2)</f>
        <v>2</v>
      </c>
      <c r="AQ146" s="84" t="n">
        <f aca="false">IFERROR(__xludf.dummyfunction("""COMPUTED_VALUE"""),211543)</f>
        <v>211543</v>
      </c>
      <c r="AR146" s="84" t="n">
        <f aca="false">IFERROR(__xludf.dummyfunction("""COMPUTED_VALUE"""),36458)</f>
        <v>36458</v>
      </c>
      <c r="AS146" s="84" t="n">
        <f aca="false">IFERROR(__xludf.dummyfunction("""COMPUTED_VALUE"""),222067)</f>
        <v>222067</v>
      </c>
      <c r="AT146" s="84" t="n">
        <f aca="false">IFERROR(__xludf.dummyfunction("""COMPUTED_VALUE"""),3338559)</f>
        <v>3338559</v>
      </c>
      <c r="AU146" s="84" t="n">
        <f aca="false">IFERROR(__xludf.dummyfunction("""COMPUTED_VALUE"""),366415)</f>
        <v>366415</v>
      </c>
      <c r="AV146" s="84" t="n">
        <f aca="false">IFERROR(__xludf.dummyfunction("""COMPUTED_VALUE"""),180702)</f>
        <v>180702</v>
      </c>
      <c r="AW146" s="84" t="n">
        <f aca="false">IFERROR(__xludf.dummyfunction("""COMPUTED_VALUE"""),38519)</f>
        <v>38519</v>
      </c>
      <c r="AX146" s="84" t="n">
        <f aca="false">IFERROR(__xludf.dummyfunction("""COMPUTED_VALUE"""),433231)</f>
        <v>433231</v>
      </c>
      <c r="AY146" s="84" t="n">
        <f aca="false">IFERROR(__xludf.dummyfunction("""COMPUTED_VALUE"""),10754)</f>
        <v>10754</v>
      </c>
      <c r="AZ146" s="84" t="n">
        <f aca="false">IFERROR(__xludf.dummyfunction("""COMPUTED_VALUE"""),583355)</f>
        <v>583355</v>
      </c>
      <c r="BA146" s="84" t="n">
        <f aca="false">IFERROR(__xludf.dummyfunction("""COMPUTED_VALUE"""),20445)</f>
        <v>20445</v>
      </c>
    </row>
    <row r="147" customFormat="false" ht="15.75" hidden="false" customHeight="false" outlineLevel="0" collapsed="false">
      <c r="A147" s="78" t="str">
        <f aca="false">IFERROR(__xludf.dummyfunction("""COMPUTED_VALUE"""),"seller_unit_number")</f>
        <v>seller_unit_number</v>
      </c>
      <c r="B147" s="72" t="n">
        <f aca="false">IFERROR(__xludf.dummyfunction("""COMPUTED_VALUE"""),7344598)</f>
        <v>7344598</v>
      </c>
      <c r="C147" s="82" t="n">
        <f aca="false">IFERROR(__xludf.dummyfunction("""COMPUTED_VALUE"""),46390)</f>
        <v>46390</v>
      </c>
      <c r="D147" s="83" t="n">
        <f aca="false">IFERROR(__xludf.dummyfunction("""COMPUTED_VALUE"""),29961)</f>
        <v>29961</v>
      </c>
      <c r="E147" s="84" t="n">
        <f aca="false">IFERROR(__xludf.dummyfunction("""COMPUTED_VALUE"""),362831)</f>
        <v>362831</v>
      </c>
      <c r="F147" s="84" t="n">
        <f aca="false">IFERROR(__xludf.dummyfunction("""COMPUTED_VALUE"""),26602)</f>
        <v>26602</v>
      </c>
      <c r="G147" s="84" t="n">
        <f aca="false">IFERROR(__xludf.dummyfunction("""COMPUTED_VALUE"""),567649)</f>
        <v>567649</v>
      </c>
      <c r="H147" s="84" t="n">
        <f aca="false">IFERROR(__xludf.dummyfunction("""COMPUTED_VALUE"""),105231)</f>
        <v>105231</v>
      </c>
      <c r="I147" s="84" t="n">
        <f aca="false">IFERROR(__xludf.dummyfunction("""COMPUTED_VALUE"""),3)</f>
        <v>3</v>
      </c>
      <c r="J147" s="84" t="n">
        <f aca="false">IFERROR(__xludf.dummyfunction("""COMPUTED_VALUE"""),14492)</f>
        <v>14492</v>
      </c>
      <c r="K147" s="84" t="n">
        <f aca="false">IFERROR(__xludf.dummyfunction("""COMPUTED_VALUE"""),0)</f>
        <v>0</v>
      </c>
      <c r="L147" s="84" t="n">
        <f aca="false">IFERROR(__xludf.dummyfunction("""COMPUTED_VALUE"""),2113551)</f>
        <v>2113551</v>
      </c>
      <c r="M147" s="84" t="n">
        <f aca="false">IFERROR(__xludf.dummyfunction("""COMPUTED_VALUE"""),17197)</f>
        <v>17197</v>
      </c>
      <c r="N147" s="84" t="n">
        <f aca="false">IFERROR(__xludf.dummyfunction("""COMPUTED_VALUE"""),105589)</f>
        <v>105589</v>
      </c>
      <c r="O147" s="84" t="n">
        <f aca="false">IFERROR(__xludf.dummyfunction("""COMPUTED_VALUE"""),6657)</f>
        <v>6657</v>
      </c>
      <c r="P147" s="84" t="n">
        <f aca="false">IFERROR(__xludf.dummyfunction("""COMPUTED_VALUE"""),306291)</f>
        <v>306291</v>
      </c>
      <c r="Q147" s="84" t="n">
        <f aca="false">IFERROR(__xludf.dummyfunction("""COMPUTED_VALUE"""),37602)</f>
        <v>37602</v>
      </c>
      <c r="R147" s="84" t="n">
        <f aca="false">IFERROR(__xludf.dummyfunction("""COMPUTED_VALUE"""),9117)</f>
        <v>9117</v>
      </c>
      <c r="S147" s="84" t="n">
        <f aca="false">IFERROR(__xludf.dummyfunction("""COMPUTED_VALUE"""),9388)</f>
        <v>9388</v>
      </c>
      <c r="T147" s="84" t="n">
        <f aca="false">IFERROR(__xludf.dummyfunction("""COMPUTED_VALUE"""),80103)</f>
        <v>80103</v>
      </c>
      <c r="U147" s="84" t="n">
        <f aca="false">IFERROR(__xludf.dummyfunction("""COMPUTED_VALUE"""),36919)</f>
        <v>36919</v>
      </c>
      <c r="V147" s="84" t="n">
        <f aca="false">IFERROR(__xludf.dummyfunction("""COMPUTED_VALUE"""),0)</f>
        <v>0</v>
      </c>
      <c r="W147" s="84" t="n">
        <f aca="false">IFERROR(__xludf.dummyfunction("""COMPUTED_VALUE"""),48068)</f>
        <v>48068</v>
      </c>
      <c r="X147" s="84" t="n">
        <f aca="false">IFERROR(__xludf.dummyfunction("""COMPUTED_VALUE"""),1)</f>
        <v>1</v>
      </c>
      <c r="Y147" s="84" t="n">
        <f aca="false">IFERROR(__xludf.dummyfunction("""COMPUTED_VALUE"""),441948)</f>
        <v>441948</v>
      </c>
      <c r="Z147" s="84" t="n">
        <f aca="false">IFERROR(__xludf.dummyfunction("""COMPUTED_VALUE"""),176613)</f>
        <v>176613</v>
      </c>
      <c r="AA147" s="84" t="n">
        <f aca="false">IFERROR(__xludf.dummyfunction("""COMPUTED_VALUE"""),28457)</f>
        <v>28457</v>
      </c>
      <c r="AB147" s="84" t="n">
        <f aca="false">IFERROR(__xludf.dummyfunction("""COMPUTED_VALUE"""),128279)</f>
        <v>128279</v>
      </c>
      <c r="AC147" s="84" t="n">
        <f aca="false">IFERROR(__xludf.dummyfunction("""COMPUTED_VALUE"""),8868)</f>
        <v>8868</v>
      </c>
      <c r="AD147" s="84" t="n">
        <f aca="false">IFERROR(__xludf.dummyfunction("""COMPUTED_VALUE"""),3595)</f>
        <v>3595</v>
      </c>
      <c r="AE147" s="84" t="n">
        <f aca="false">IFERROR(__xludf.dummyfunction("""COMPUTED_VALUE"""),396815)</f>
        <v>396815</v>
      </c>
      <c r="AF147" s="84" t="n">
        <f aca="false">IFERROR(__xludf.dummyfunction("""COMPUTED_VALUE"""),0)</f>
        <v>0</v>
      </c>
      <c r="AG147" s="84" t="n">
        <f aca="false">IFERROR(__xludf.dummyfunction("""COMPUTED_VALUE"""),237954)</f>
        <v>237954</v>
      </c>
      <c r="AH147" s="84" t="n">
        <f aca="false">IFERROR(__xludf.dummyfunction("""COMPUTED_VALUE"""),8690)</f>
        <v>8690</v>
      </c>
      <c r="AI147" s="84" t="n">
        <f aca="false">IFERROR(__xludf.dummyfunction("""COMPUTED_VALUE"""),270084)</f>
        <v>270084</v>
      </c>
      <c r="AJ147" s="84" t="n">
        <f aca="false">IFERROR(__xludf.dummyfunction("""COMPUTED_VALUE"""),362074)</f>
        <v>362074</v>
      </c>
      <c r="AK147" s="84" t="n">
        <f aca="false">IFERROR(__xludf.dummyfunction("""COMPUTED_VALUE"""),1893)</f>
        <v>1893</v>
      </c>
      <c r="AL147" s="84" t="n">
        <f aca="false">IFERROR(__xludf.dummyfunction("""COMPUTED_VALUE"""),84896)</f>
        <v>84896</v>
      </c>
      <c r="AM147" s="84" t="n">
        <f aca="false">IFERROR(__xludf.dummyfunction("""COMPUTED_VALUE"""),12728)</f>
        <v>12728</v>
      </c>
      <c r="AN147" s="84" t="n">
        <f aca="false">IFERROR(__xludf.dummyfunction("""COMPUTED_VALUE"""),42162)</f>
        <v>42162</v>
      </c>
      <c r="AO147" s="84" t="n">
        <f aca="false">IFERROR(__xludf.dummyfunction("""COMPUTED_VALUE"""),115679)</f>
        <v>115679</v>
      </c>
      <c r="AP147" s="84" t="n">
        <f aca="false">IFERROR(__xludf.dummyfunction("""COMPUTED_VALUE"""),0)</f>
        <v>0</v>
      </c>
      <c r="AQ147" s="84" t="n">
        <f aca="false">IFERROR(__xludf.dummyfunction("""COMPUTED_VALUE"""),24262)</f>
        <v>24262</v>
      </c>
      <c r="AR147" s="84" t="n">
        <f aca="false">IFERROR(__xludf.dummyfunction("""COMPUTED_VALUE"""),3983)</f>
        <v>3983</v>
      </c>
      <c r="AS147" s="84" t="n">
        <f aca="false">IFERROR(__xludf.dummyfunction("""COMPUTED_VALUE"""),30610)</f>
        <v>30610</v>
      </c>
      <c r="AT147" s="84" t="n">
        <f aca="false">IFERROR(__xludf.dummyfunction("""COMPUTED_VALUE"""),856629)</f>
        <v>856629</v>
      </c>
      <c r="AU147" s="84" t="n">
        <f aca="false">IFERROR(__xludf.dummyfunction("""COMPUTED_VALUE"""),54282)</f>
        <v>54282</v>
      </c>
      <c r="AV147" s="84" t="n">
        <f aca="false">IFERROR(__xludf.dummyfunction("""COMPUTED_VALUE"""),16304)</f>
        <v>16304</v>
      </c>
      <c r="AW147" s="84" t="n">
        <f aca="false">IFERROR(__xludf.dummyfunction("""COMPUTED_VALUE"""),4794)</f>
        <v>4794</v>
      </c>
      <c r="AX147" s="84" t="n">
        <f aca="false">IFERROR(__xludf.dummyfunction("""COMPUTED_VALUE"""),65723)</f>
        <v>65723</v>
      </c>
      <c r="AY147" s="84" t="n">
        <f aca="false">IFERROR(__xludf.dummyfunction("""COMPUTED_VALUE"""),1297)</f>
        <v>1297</v>
      </c>
      <c r="AZ147" s="84" t="n">
        <f aca="false">IFERROR(__xludf.dummyfunction("""COMPUTED_VALUE"""),40452)</f>
        <v>40452</v>
      </c>
      <c r="BA147" s="84" t="n">
        <f aca="false">IFERROR(__xludf.dummyfunction("""COMPUTED_VALUE"""),1885)</f>
        <v>1885</v>
      </c>
    </row>
    <row r="148" customFormat="false" ht="15.75" hidden="false" customHeight="false" outlineLevel="0" collapsed="false">
      <c r="A148" s="78" t="str">
        <f aca="false">IFERROR(__xludf.dummyfunction("""COMPUTED_VALUE"""),"seller_city")</f>
        <v>seller_city</v>
      </c>
      <c r="B148" s="72" t="n">
        <f aca="false">IFERROR(__xludf.dummyfunction("""COMPUTED_VALUE"""),35960959)</f>
        <v>35960959</v>
      </c>
      <c r="C148" s="82" t="n">
        <f aca="false">IFERROR(__xludf.dummyfunction("""COMPUTED_VALUE"""),431835)</f>
        <v>431835</v>
      </c>
      <c r="D148" s="83" t="n">
        <f aca="false">IFERROR(__xludf.dummyfunction("""COMPUTED_VALUE"""),137749)</f>
        <v>137749</v>
      </c>
      <c r="E148" s="84" t="n">
        <f aca="false">IFERROR(__xludf.dummyfunction("""COMPUTED_VALUE"""),1464065)</f>
        <v>1464065</v>
      </c>
      <c r="F148" s="84" t="n">
        <f aca="false">IFERROR(__xludf.dummyfunction("""COMPUTED_VALUE"""),280691)</f>
        <v>280691</v>
      </c>
      <c r="G148" s="84" t="n">
        <f aca="false">IFERROR(__xludf.dummyfunction("""COMPUTED_VALUE"""),5566349)</f>
        <v>5566349</v>
      </c>
      <c r="H148" s="84" t="n">
        <f aca="false">IFERROR(__xludf.dummyfunction("""COMPUTED_VALUE"""),661569)</f>
        <v>661569</v>
      </c>
      <c r="I148" s="84" t="n">
        <f aca="false">IFERROR(__xludf.dummyfunction("""COMPUTED_VALUE"""),2)</f>
        <v>2</v>
      </c>
      <c r="J148" s="84" t="n">
        <f aca="false">IFERROR(__xludf.dummyfunction("""COMPUTED_VALUE"""),90152)</f>
        <v>90152</v>
      </c>
      <c r="K148" s="84" t="n">
        <f aca="false">IFERROR(__xludf.dummyfunction("""COMPUTED_VALUE"""),0)</f>
        <v>0</v>
      </c>
      <c r="L148" s="84" t="n">
        <f aca="false">IFERROR(__xludf.dummyfunction("""COMPUTED_VALUE"""),5717259)</f>
        <v>5717259</v>
      </c>
      <c r="M148" s="84" t="n">
        <f aca="false">IFERROR(__xludf.dummyfunction("""COMPUTED_VALUE"""),248349)</f>
        <v>248349</v>
      </c>
      <c r="N148" s="84" t="n">
        <f aca="false">IFERROR(__xludf.dummyfunction("""COMPUTED_VALUE"""),281210)</f>
        <v>281210</v>
      </c>
      <c r="O148" s="84" t="n">
        <f aca="false">IFERROR(__xludf.dummyfunction("""COMPUTED_VALUE"""),84370)</f>
        <v>84370</v>
      </c>
      <c r="P148" s="84" t="n">
        <f aca="false">IFERROR(__xludf.dummyfunction("""COMPUTED_VALUE"""),1562729)</f>
        <v>1562729</v>
      </c>
      <c r="Q148" s="84" t="n">
        <f aca="false">IFERROR(__xludf.dummyfunction("""COMPUTED_VALUE"""),287113)</f>
        <v>287113</v>
      </c>
      <c r="R148" s="84" t="n">
        <f aca="false">IFERROR(__xludf.dummyfunction("""COMPUTED_VALUE"""),70915)</f>
        <v>70915</v>
      </c>
      <c r="S148" s="84" t="n">
        <f aca="false">IFERROR(__xludf.dummyfunction("""COMPUTED_VALUE"""),67902)</f>
        <v>67902</v>
      </c>
      <c r="T148" s="84" t="n">
        <f aca="false">IFERROR(__xludf.dummyfunction("""COMPUTED_VALUE"""),644102)</f>
        <v>644102</v>
      </c>
      <c r="U148" s="84" t="n">
        <f aca="false">IFERROR(__xludf.dummyfunction("""COMPUTED_VALUE"""),329533)</f>
        <v>329533</v>
      </c>
      <c r="V148" s="84" t="n">
        <f aca="false">IFERROR(__xludf.dummyfunction("""COMPUTED_VALUE"""),0)</f>
        <v>0</v>
      </c>
      <c r="W148" s="84" t="n">
        <f aca="false">IFERROR(__xludf.dummyfunction("""COMPUTED_VALUE"""),155729)</f>
        <v>155729</v>
      </c>
      <c r="X148" s="84" t="n">
        <f aca="false">IFERROR(__xludf.dummyfunction("""COMPUTED_VALUE"""),3)</f>
        <v>3</v>
      </c>
      <c r="Y148" s="84" t="n">
        <f aca="false">IFERROR(__xludf.dummyfunction("""COMPUTED_VALUE"""),2124376)</f>
        <v>2124376</v>
      </c>
      <c r="Z148" s="84" t="n">
        <f aca="false">IFERROR(__xludf.dummyfunction("""COMPUTED_VALUE"""),707651)</f>
        <v>707651</v>
      </c>
      <c r="AA148" s="84" t="n">
        <f aca="false">IFERROR(__xludf.dummyfunction("""COMPUTED_VALUE"""),300655)</f>
        <v>300655</v>
      </c>
      <c r="AB148" s="84" t="n">
        <f aca="false">IFERROR(__xludf.dummyfunction("""COMPUTED_VALUE"""),735825)</f>
        <v>735825</v>
      </c>
      <c r="AC148" s="84" t="n">
        <f aca="false">IFERROR(__xludf.dummyfunction("""COMPUTED_VALUE"""),77339)</f>
        <v>77339</v>
      </c>
      <c r="AD148" s="84" t="n">
        <f aca="false">IFERROR(__xludf.dummyfunction("""COMPUTED_VALUE"""),29253)</f>
        <v>29253</v>
      </c>
      <c r="AE148" s="84" t="n">
        <f aca="false">IFERROR(__xludf.dummyfunction("""COMPUTED_VALUE"""),820823)</f>
        <v>820823</v>
      </c>
      <c r="AF148" s="84" t="n">
        <f aca="false">IFERROR(__xludf.dummyfunction("""COMPUTED_VALUE"""),2)</f>
        <v>2</v>
      </c>
      <c r="AG148" s="84" t="n">
        <f aca="false">IFERROR(__xludf.dummyfunction("""COMPUTED_VALUE"""),1517245)</f>
        <v>1517245</v>
      </c>
      <c r="AH148" s="84" t="n">
        <f aca="false">IFERROR(__xludf.dummyfunction("""COMPUTED_VALUE"""),112331)</f>
        <v>112331</v>
      </c>
      <c r="AI148" s="84" t="n">
        <f aca="false">IFERROR(__xludf.dummyfunction("""COMPUTED_VALUE"""),1894019)</f>
        <v>1894019</v>
      </c>
      <c r="AJ148" s="84" t="n">
        <f aca="false">IFERROR(__xludf.dummyfunction("""COMPUTED_VALUE"""),1615301)</f>
        <v>1615301</v>
      </c>
      <c r="AK148" s="84" t="n">
        <f aca="false">IFERROR(__xludf.dummyfunction("""COMPUTED_VALUE"""),15550)</f>
        <v>15550</v>
      </c>
      <c r="AL148" s="84" t="n">
        <f aca="false">IFERROR(__xludf.dummyfunction("""COMPUTED_VALUE"""),823428)</f>
        <v>823428</v>
      </c>
      <c r="AM148" s="84" t="n">
        <f aca="false">IFERROR(__xludf.dummyfunction("""COMPUTED_VALUE"""),157199)</f>
        <v>157199</v>
      </c>
      <c r="AN148" s="84" t="n">
        <f aca="false">IFERROR(__xludf.dummyfunction("""COMPUTED_VALUE"""),419601)</f>
        <v>419601</v>
      </c>
      <c r="AO148" s="84" t="n">
        <f aca="false">IFERROR(__xludf.dummyfunction("""COMPUTED_VALUE"""),1092045)</f>
        <v>1092045</v>
      </c>
      <c r="AP148" s="84" t="n">
        <f aca="false">IFERROR(__xludf.dummyfunction("""COMPUTED_VALUE"""),2)</f>
        <v>2</v>
      </c>
      <c r="AQ148" s="84" t="n">
        <f aca="false">IFERROR(__xludf.dummyfunction("""COMPUTED_VALUE"""),211918)</f>
        <v>211918</v>
      </c>
      <c r="AR148" s="84" t="n">
        <f aca="false">IFERROR(__xludf.dummyfunction("""COMPUTED_VALUE"""),36991)</f>
        <v>36991</v>
      </c>
      <c r="AS148" s="84" t="n">
        <f aca="false">IFERROR(__xludf.dummyfunction("""COMPUTED_VALUE"""),222774)</f>
        <v>222774</v>
      </c>
      <c r="AT148" s="84" t="n">
        <f aca="false">IFERROR(__xludf.dummyfunction("""COMPUTED_VALUE"""),3338674)</f>
        <v>3338674</v>
      </c>
      <c r="AU148" s="84" t="n">
        <f aca="false">IFERROR(__xludf.dummyfunction("""COMPUTED_VALUE"""),366654)</f>
        <v>366654</v>
      </c>
      <c r="AV148" s="84" t="n">
        <f aca="false">IFERROR(__xludf.dummyfunction("""COMPUTED_VALUE"""),180274)</f>
        <v>180274</v>
      </c>
      <c r="AW148" s="84" t="n">
        <f aca="false">IFERROR(__xludf.dummyfunction("""COMPUTED_VALUE"""),33409)</f>
        <v>33409</v>
      </c>
      <c r="AX148" s="84" t="n">
        <f aca="false">IFERROR(__xludf.dummyfunction("""COMPUTED_VALUE"""),433644)</f>
        <v>433644</v>
      </c>
      <c r="AY148" s="84" t="n">
        <f aca="false">IFERROR(__xludf.dummyfunction("""COMPUTED_VALUE"""),10728)</f>
        <v>10728</v>
      </c>
      <c r="AZ148" s="84" t="n">
        <f aca="false">IFERROR(__xludf.dummyfunction("""COMPUTED_VALUE"""),583635)</f>
        <v>583635</v>
      </c>
      <c r="BA148" s="84" t="n">
        <f aca="false">IFERROR(__xludf.dummyfunction("""COMPUTED_VALUE"""),17987)</f>
        <v>17987</v>
      </c>
    </row>
    <row r="149" customFormat="false" ht="15.75" hidden="false" customHeight="false" outlineLevel="0" collapsed="false">
      <c r="A149" s="78" t="str">
        <f aca="false">IFERROR(__xludf.dummyfunction("""COMPUTED_VALUE"""),"seller_state")</f>
        <v>seller_state</v>
      </c>
      <c r="B149" s="72" t="n">
        <f aca="false">IFERROR(__xludf.dummyfunction("""COMPUTED_VALUE"""),35936350)</f>
        <v>35936350</v>
      </c>
      <c r="C149" s="82" t="n">
        <f aca="false">IFERROR(__xludf.dummyfunction("""COMPUTED_VALUE"""),431944)</f>
        <v>431944</v>
      </c>
      <c r="D149" s="83" t="n">
        <f aca="false">IFERROR(__xludf.dummyfunction("""COMPUTED_VALUE"""),137662)</f>
        <v>137662</v>
      </c>
      <c r="E149" s="84" t="n">
        <f aca="false">IFERROR(__xludf.dummyfunction("""COMPUTED_VALUE"""),1459756)</f>
        <v>1459756</v>
      </c>
      <c r="F149" s="84" t="n">
        <f aca="false">IFERROR(__xludf.dummyfunction("""COMPUTED_VALUE"""),280783)</f>
        <v>280783</v>
      </c>
      <c r="G149" s="84" t="n">
        <f aca="false">IFERROR(__xludf.dummyfunction("""COMPUTED_VALUE"""),5565523)</f>
        <v>5565523</v>
      </c>
      <c r="H149" s="84" t="n">
        <f aca="false">IFERROR(__xludf.dummyfunction("""COMPUTED_VALUE"""),661713)</f>
        <v>661713</v>
      </c>
      <c r="I149" s="84" t="n">
        <f aca="false">IFERROR(__xludf.dummyfunction("""COMPUTED_VALUE"""),2)</f>
        <v>2</v>
      </c>
      <c r="J149" s="84" t="n">
        <f aca="false">IFERROR(__xludf.dummyfunction("""COMPUTED_VALUE"""),90315)</f>
        <v>90315</v>
      </c>
      <c r="K149" s="84" t="n">
        <f aca="false">IFERROR(__xludf.dummyfunction("""COMPUTED_VALUE"""),0)</f>
        <v>0</v>
      </c>
      <c r="L149" s="84" t="n">
        <f aca="false">IFERROR(__xludf.dummyfunction("""COMPUTED_VALUE"""),5695573)</f>
        <v>5695573</v>
      </c>
      <c r="M149" s="84" t="n">
        <f aca="false">IFERROR(__xludf.dummyfunction("""COMPUTED_VALUE"""),248368)</f>
        <v>248368</v>
      </c>
      <c r="N149" s="84" t="n">
        <f aca="false">IFERROR(__xludf.dummyfunction("""COMPUTED_VALUE"""),279352)</f>
        <v>279352</v>
      </c>
      <c r="O149" s="84" t="n">
        <f aca="false">IFERROR(__xludf.dummyfunction("""COMPUTED_VALUE"""),84639)</f>
        <v>84639</v>
      </c>
      <c r="P149" s="84" t="n">
        <f aca="false">IFERROR(__xludf.dummyfunction("""COMPUTED_VALUE"""),1562684)</f>
        <v>1562684</v>
      </c>
      <c r="Q149" s="84" t="n">
        <f aca="false">IFERROR(__xludf.dummyfunction("""COMPUTED_VALUE"""),288249)</f>
        <v>288249</v>
      </c>
      <c r="R149" s="84" t="n">
        <f aca="false">IFERROR(__xludf.dummyfunction("""COMPUTED_VALUE"""),71077)</f>
        <v>71077</v>
      </c>
      <c r="S149" s="84" t="n">
        <f aca="false">IFERROR(__xludf.dummyfunction("""COMPUTED_VALUE"""),67989)</f>
        <v>67989</v>
      </c>
      <c r="T149" s="84" t="n">
        <f aca="false">IFERROR(__xludf.dummyfunction("""COMPUTED_VALUE"""),644179)</f>
        <v>644179</v>
      </c>
      <c r="U149" s="84" t="n">
        <f aca="false">IFERROR(__xludf.dummyfunction("""COMPUTED_VALUE"""),329540)</f>
        <v>329540</v>
      </c>
      <c r="V149" s="84" t="n">
        <f aca="false">IFERROR(__xludf.dummyfunction("""COMPUTED_VALUE"""),0)</f>
        <v>0</v>
      </c>
      <c r="W149" s="84" t="n">
        <f aca="false">IFERROR(__xludf.dummyfunction("""COMPUTED_VALUE"""),156378)</f>
        <v>156378</v>
      </c>
      <c r="X149" s="84" t="n">
        <f aca="false">IFERROR(__xludf.dummyfunction("""COMPUTED_VALUE"""),3)</f>
        <v>3</v>
      </c>
      <c r="Y149" s="84" t="n">
        <f aca="false">IFERROR(__xludf.dummyfunction("""COMPUTED_VALUE"""),2124409)</f>
        <v>2124409</v>
      </c>
      <c r="Z149" s="84" t="n">
        <f aca="false">IFERROR(__xludf.dummyfunction("""COMPUTED_VALUE"""),707192)</f>
        <v>707192</v>
      </c>
      <c r="AA149" s="84" t="n">
        <f aca="false">IFERROR(__xludf.dummyfunction("""COMPUTED_VALUE"""),300647)</f>
        <v>300647</v>
      </c>
      <c r="AB149" s="84" t="n">
        <f aca="false">IFERROR(__xludf.dummyfunction("""COMPUTED_VALUE"""),737919)</f>
        <v>737919</v>
      </c>
      <c r="AC149" s="84" t="n">
        <f aca="false">IFERROR(__xludf.dummyfunction("""COMPUTED_VALUE"""),77220)</f>
        <v>77220</v>
      </c>
      <c r="AD149" s="84" t="n">
        <f aca="false">IFERROR(__xludf.dummyfunction("""COMPUTED_VALUE"""),29311)</f>
        <v>29311</v>
      </c>
      <c r="AE149" s="84" t="n">
        <f aca="false">IFERROR(__xludf.dummyfunction("""COMPUTED_VALUE"""),820806)</f>
        <v>820806</v>
      </c>
      <c r="AF149" s="84" t="n">
        <f aca="false">IFERROR(__xludf.dummyfunction("""COMPUTED_VALUE"""),2)</f>
        <v>2</v>
      </c>
      <c r="AG149" s="84" t="n">
        <f aca="false">IFERROR(__xludf.dummyfunction("""COMPUTED_VALUE"""),1517035)</f>
        <v>1517035</v>
      </c>
      <c r="AH149" s="84" t="n">
        <f aca="false">IFERROR(__xludf.dummyfunction("""COMPUTED_VALUE"""),112356)</f>
        <v>112356</v>
      </c>
      <c r="AI149" s="84" t="n">
        <f aca="false">IFERROR(__xludf.dummyfunction("""COMPUTED_VALUE"""),1893527)</f>
        <v>1893527</v>
      </c>
      <c r="AJ149" s="84" t="n">
        <f aca="false">IFERROR(__xludf.dummyfunction("""COMPUTED_VALUE"""),1615481)</f>
        <v>1615481</v>
      </c>
      <c r="AK149" s="84" t="n">
        <f aca="false">IFERROR(__xludf.dummyfunction("""COMPUTED_VALUE"""),15620)</f>
        <v>15620</v>
      </c>
      <c r="AL149" s="84" t="n">
        <f aca="false">IFERROR(__xludf.dummyfunction("""COMPUTED_VALUE"""),824662)</f>
        <v>824662</v>
      </c>
      <c r="AM149" s="84" t="n">
        <f aca="false">IFERROR(__xludf.dummyfunction("""COMPUTED_VALUE"""),157461)</f>
        <v>157461</v>
      </c>
      <c r="AN149" s="84" t="n">
        <f aca="false">IFERROR(__xludf.dummyfunction("""COMPUTED_VALUE"""),419711)</f>
        <v>419711</v>
      </c>
      <c r="AO149" s="84" t="n">
        <f aca="false">IFERROR(__xludf.dummyfunction("""COMPUTED_VALUE"""),1091395)</f>
        <v>1091395</v>
      </c>
      <c r="AP149" s="84" t="n">
        <f aca="false">IFERROR(__xludf.dummyfunction("""COMPUTED_VALUE"""),2)</f>
        <v>2</v>
      </c>
      <c r="AQ149" s="84" t="n">
        <f aca="false">IFERROR(__xludf.dummyfunction("""COMPUTED_VALUE"""),212363)</f>
        <v>212363</v>
      </c>
      <c r="AR149" s="84" t="n">
        <f aca="false">IFERROR(__xludf.dummyfunction("""COMPUTED_VALUE"""),37865)</f>
        <v>37865</v>
      </c>
      <c r="AS149" s="84" t="n">
        <f aca="false">IFERROR(__xludf.dummyfunction("""COMPUTED_VALUE"""),223214)</f>
        <v>223214</v>
      </c>
      <c r="AT149" s="84" t="n">
        <f aca="false">IFERROR(__xludf.dummyfunction("""COMPUTED_VALUE"""),3337515)</f>
        <v>3337515</v>
      </c>
      <c r="AU149" s="84" t="n">
        <f aca="false">IFERROR(__xludf.dummyfunction("""COMPUTED_VALUE"""),367036)</f>
        <v>367036</v>
      </c>
      <c r="AV149" s="84" t="n">
        <f aca="false">IFERROR(__xludf.dummyfunction("""COMPUTED_VALUE"""),180537)</f>
        <v>180537</v>
      </c>
      <c r="AW149" s="84" t="n">
        <f aca="false">IFERROR(__xludf.dummyfunction("""COMPUTED_VALUE"""),33539)</f>
        <v>33539</v>
      </c>
      <c r="AX149" s="84" t="n">
        <f aca="false">IFERROR(__xludf.dummyfunction("""COMPUTED_VALUE"""),433120)</f>
        <v>433120</v>
      </c>
      <c r="AY149" s="84" t="n">
        <f aca="false">IFERROR(__xludf.dummyfunction("""COMPUTED_VALUE"""),10749)</f>
        <v>10749</v>
      </c>
      <c r="AZ149" s="84" t="n">
        <f aca="false">IFERROR(__xludf.dummyfunction("""COMPUTED_VALUE"""),581740)</f>
        <v>581740</v>
      </c>
      <c r="BA149" s="84" t="n">
        <f aca="false">IFERROR(__xludf.dummyfunction("""COMPUTED_VALUE"""),18187)</f>
        <v>18187</v>
      </c>
    </row>
    <row r="150" customFormat="false" ht="15.75" hidden="false" customHeight="false" outlineLevel="0" collapsed="false">
      <c r="A150" s="78" t="str">
        <f aca="false">IFERROR(__xludf.dummyfunction("""COMPUTED_VALUE"""),"seller_zip_code")</f>
        <v>seller_zip_code</v>
      </c>
      <c r="B150" s="72" t="n">
        <f aca="false">IFERROR(__xludf.dummyfunction("""COMPUTED_VALUE"""),39870144)</f>
        <v>39870144</v>
      </c>
      <c r="C150" s="82" t="n">
        <f aca="false">IFERROR(__xludf.dummyfunction("""COMPUTED_VALUE"""),446384)</f>
        <v>446384</v>
      </c>
      <c r="D150" s="83" t="n">
        <f aca="false">IFERROR(__xludf.dummyfunction("""COMPUTED_VALUE"""),137604)</f>
        <v>137604</v>
      </c>
      <c r="E150" s="84" t="n">
        <f aca="false">IFERROR(__xludf.dummyfunction("""COMPUTED_VALUE"""),1466943)</f>
        <v>1466943</v>
      </c>
      <c r="F150" s="84" t="n">
        <f aca="false">IFERROR(__xludf.dummyfunction("""COMPUTED_VALUE"""),310909)</f>
        <v>310909</v>
      </c>
      <c r="G150" s="84" t="n">
        <f aca="false">IFERROR(__xludf.dummyfunction("""COMPUTED_VALUE"""),5770916)</f>
        <v>5770916</v>
      </c>
      <c r="H150" s="84" t="n">
        <f aca="false">IFERROR(__xludf.dummyfunction("""COMPUTED_VALUE"""),844672)</f>
        <v>844672</v>
      </c>
      <c r="I150" s="84" t="n">
        <f aca="false">IFERROR(__xludf.dummyfunction("""COMPUTED_VALUE"""),2)</f>
        <v>2</v>
      </c>
      <c r="J150" s="84" t="n">
        <f aca="false">IFERROR(__xludf.dummyfunction("""COMPUTED_VALUE"""),89922)</f>
        <v>89922</v>
      </c>
      <c r="K150" s="84" t="n">
        <f aca="false">IFERROR(__xludf.dummyfunction("""COMPUTED_VALUE"""),0)</f>
        <v>0</v>
      </c>
      <c r="L150" s="84" t="n">
        <f aca="false">IFERROR(__xludf.dummyfunction("""COMPUTED_VALUE"""),5760439)</f>
        <v>5760439</v>
      </c>
      <c r="M150" s="84" t="n">
        <f aca="false">IFERROR(__xludf.dummyfunction("""COMPUTED_VALUE"""),249030)</f>
        <v>249030</v>
      </c>
      <c r="N150" s="84" t="n">
        <f aca="false">IFERROR(__xludf.dummyfunction("""COMPUTED_VALUE"""),278750)</f>
        <v>278750</v>
      </c>
      <c r="O150" s="84" t="n">
        <f aca="false">IFERROR(__xludf.dummyfunction("""COMPUTED_VALUE"""),149925)</f>
        <v>149925</v>
      </c>
      <c r="P150" s="84" t="n">
        <f aca="false">IFERROR(__xludf.dummyfunction("""COMPUTED_VALUE"""),1583722)</f>
        <v>1583722</v>
      </c>
      <c r="Q150" s="84" t="n">
        <f aca="false">IFERROR(__xludf.dummyfunction("""COMPUTED_VALUE"""),570805)</f>
        <v>570805</v>
      </c>
      <c r="R150" s="84" t="n">
        <f aca="false">IFERROR(__xludf.dummyfunction("""COMPUTED_VALUE"""),134485)</f>
        <v>134485</v>
      </c>
      <c r="S150" s="84" t="n">
        <f aca="false">IFERROR(__xludf.dummyfunction("""COMPUTED_VALUE"""),155525)</f>
        <v>155525</v>
      </c>
      <c r="T150" s="84" t="n">
        <f aca="false">IFERROR(__xludf.dummyfunction("""COMPUTED_VALUE"""),658542)</f>
        <v>658542</v>
      </c>
      <c r="U150" s="84" t="n">
        <f aca="false">IFERROR(__xludf.dummyfunction("""COMPUTED_VALUE"""),345717)</f>
        <v>345717</v>
      </c>
      <c r="V150" s="84" t="n">
        <f aca="false">IFERROR(__xludf.dummyfunction("""COMPUTED_VALUE"""),0)</f>
        <v>0</v>
      </c>
      <c r="W150" s="84" t="n">
        <f aca="false">IFERROR(__xludf.dummyfunction("""COMPUTED_VALUE"""),406445)</f>
        <v>406445</v>
      </c>
      <c r="X150" s="84" t="n">
        <f aca="false">IFERROR(__xludf.dummyfunction("""COMPUTED_VALUE"""),3)</f>
        <v>3</v>
      </c>
      <c r="Y150" s="84" t="n">
        <f aca="false">IFERROR(__xludf.dummyfunction("""COMPUTED_VALUE"""),2148858)</f>
        <v>2148858</v>
      </c>
      <c r="Z150" s="84" t="n">
        <f aca="false">IFERROR(__xludf.dummyfunction("""COMPUTED_VALUE"""),805365)</f>
        <v>805365</v>
      </c>
      <c r="AA150" s="84" t="n">
        <f aca="false">IFERROR(__xludf.dummyfunction("""COMPUTED_VALUE"""),300891)</f>
        <v>300891</v>
      </c>
      <c r="AB150" s="84" t="n">
        <f aca="false">IFERROR(__xludf.dummyfunction("""COMPUTED_VALUE"""),856386)</f>
        <v>856386</v>
      </c>
      <c r="AC150" s="84" t="n">
        <f aca="false">IFERROR(__xludf.dummyfunction("""COMPUTED_VALUE"""),90739)</f>
        <v>90739</v>
      </c>
      <c r="AD150" s="84" t="n">
        <f aca="false">IFERROR(__xludf.dummyfunction("""COMPUTED_VALUE"""),105869)</f>
        <v>105869</v>
      </c>
      <c r="AE150" s="84" t="n">
        <f aca="false">IFERROR(__xludf.dummyfunction("""COMPUTED_VALUE"""),842505)</f>
        <v>842505</v>
      </c>
      <c r="AF150" s="84" t="n">
        <f aca="false">IFERROR(__xludf.dummyfunction("""COMPUTED_VALUE"""),2)</f>
        <v>2</v>
      </c>
      <c r="AG150" s="84" t="n">
        <f aca="false">IFERROR(__xludf.dummyfunction("""COMPUTED_VALUE"""),1532517)</f>
        <v>1532517</v>
      </c>
      <c r="AH150" s="84" t="n">
        <f aca="false">IFERROR(__xludf.dummyfunction("""COMPUTED_VALUE"""),189567)</f>
        <v>189567</v>
      </c>
      <c r="AI150" s="84" t="n">
        <f aca="false">IFERROR(__xludf.dummyfunction("""COMPUTED_VALUE"""),1862838)</f>
        <v>1862838</v>
      </c>
      <c r="AJ150" s="84" t="n">
        <f aca="false">IFERROR(__xludf.dummyfunction("""COMPUTED_VALUE"""),1716064)</f>
        <v>1716064</v>
      </c>
      <c r="AK150" s="84" t="n">
        <f aca="false">IFERROR(__xludf.dummyfunction("""COMPUTED_VALUE"""),45495)</f>
        <v>45495</v>
      </c>
      <c r="AL150" s="84" t="n">
        <f aca="false">IFERROR(__xludf.dummyfunction("""COMPUTED_VALUE"""),1241512)</f>
        <v>1241512</v>
      </c>
      <c r="AM150" s="84" t="n">
        <f aca="false">IFERROR(__xludf.dummyfunction("""COMPUTED_VALUE"""),331678)</f>
        <v>331678</v>
      </c>
      <c r="AN150" s="84" t="n">
        <f aca="false">IFERROR(__xludf.dummyfunction("""COMPUTED_VALUE"""),517582)</f>
        <v>517582</v>
      </c>
      <c r="AO150" s="84" t="n">
        <f aca="false">IFERROR(__xludf.dummyfunction("""COMPUTED_VALUE"""),1196579)</f>
        <v>1196579</v>
      </c>
      <c r="AP150" s="84" t="n">
        <f aca="false">IFERROR(__xludf.dummyfunction("""COMPUTED_VALUE"""),2)</f>
        <v>2</v>
      </c>
      <c r="AQ150" s="84" t="n">
        <f aca="false">IFERROR(__xludf.dummyfunction("""COMPUTED_VALUE"""),295303)</f>
        <v>295303</v>
      </c>
      <c r="AR150" s="84" t="n">
        <f aca="false">IFERROR(__xludf.dummyfunction("""COMPUTED_VALUE"""),37029)</f>
        <v>37029</v>
      </c>
      <c r="AS150" s="84" t="n">
        <f aca="false">IFERROR(__xludf.dummyfunction("""COMPUTED_VALUE"""),459866)</f>
        <v>459866</v>
      </c>
      <c r="AT150" s="84" t="n">
        <f aca="false">IFERROR(__xludf.dummyfunction("""COMPUTED_VALUE"""),3833521)</f>
        <v>3833521</v>
      </c>
      <c r="AU150" s="84" t="n">
        <f aca="false">IFERROR(__xludf.dummyfunction("""COMPUTED_VALUE"""),524993)</f>
        <v>524993</v>
      </c>
      <c r="AV150" s="84" t="n">
        <f aca="false">IFERROR(__xludf.dummyfunction("""COMPUTED_VALUE"""),178621)</f>
        <v>178621</v>
      </c>
      <c r="AW150" s="84" t="n">
        <f aca="false">IFERROR(__xludf.dummyfunction("""COMPUTED_VALUE"""),109090)</f>
        <v>109090</v>
      </c>
      <c r="AX150" s="84" t="n">
        <f aca="false">IFERROR(__xludf.dummyfunction("""COMPUTED_VALUE"""),555000)</f>
        <v>555000</v>
      </c>
      <c r="AY150" s="84" t="n">
        <f aca="false">IFERROR(__xludf.dummyfunction("""COMPUTED_VALUE"""),34129)</f>
        <v>34129</v>
      </c>
      <c r="AZ150" s="84" t="n">
        <f aca="false">IFERROR(__xludf.dummyfunction("""COMPUTED_VALUE"""),654988)</f>
        <v>654988</v>
      </c>
      <c r="BA150" s="84" t="n">
        <f aca="false">IFERROR(__xludf.dummyfunction("""COMPUTED_VALUE"""),42415)</f>
        <v>42415</v>
      </c>
    </row>
    <row r="151" customFormat="false" ht="15.75" hidden="false" customHeight="false" outlineLevel="0" collapsed="false">
      <c r="A151" s="78" t="str">
        <f aca="false">IFERROR(__xludf.dummyfunction("""COMPUTED_VALUE"""),"seller_zip_plus_four_code")</f>
        <v>seller_zip_plus_four_code</v>
      </c>
      <c r="B151" s="72" t="n">
        <f aca="false">IFERROR(__xludf.dummyfunction("""COMPUTED_VALUE"""),38735387)</f>
        <v>38735387</v>
      </c>
      <c r="C151" s="82" t="n">
        <f aca="false">IFERROR(__xludf.dummyfunction("""COMPUTED_VALUE"""),448653)</f>
        <v>448653</v>
      </c>
      <c r="D151" s="83" t="n">
        <f aca="false">IFERROR(__xludf.dummyfunction("""COMPUTED_VALUE"""),133508)</f>
        <v>133508</v>
      </c>
      <c r="E151" s="84" t="n">
        <f aca="false">IFERROR(__xludf.dummyfunction("""COMPUTED_VALUE"""),1424053)</f>
        <v>1424053</v>
      </c>
      <c r="F151" s="84" t="n">
        <f aca="false">IFERROR(__xludf.dummyfunction("""COMPUTED_VALUE"""),361273)</f>
        <v>361273</v>
      </c>
      <c r="G151" s="84" t="n">
        <f aca="false">IFERROR(__xludf.dummyfunction("""COMPUTED_VALUE"""),5457943)</f>
        <v>5457943</v>
      </c>
      <c r="H151" s="84" t="n">
        <f aca="false">IFERROR(__xludf.dummyfunction("""COMPUTED_VALUE"""),832254)</f>
        <v>832254</v>
      </c>
      <c r="I151" s="84" t="n">
        <f aca="false">IFERROR(__xludf.dummyfunction("""COMPUTED_VALUE"""),0)</f>
        <v>0</v>
      </c>
      <c r="J151" s="84" t="n">
        <f aca="false">IFERROR(__xludf.dummyfunction("""COMPUTED_VALUE"""),87584)</f>
        <v>87584</v>
      </c>
      <c r="K151" s="84" t="n">
        <f aca="false">IFERROR(__xludf.dummyfunction("""COMPUTED_VALUE"""),0)</f>
        <v>0</v>
      </c>
      <c r="L151" s="84" t="n">
        <f aca="false">IFERROR(__xludf.dummyfunction("""COMPUTED_VALUE"""),5331764)</f>
        <v>5331764</v>
      </c>
      <c r="M151" s="84" t="n">
        <f aca="false">IFERROR(__xludf.dummyfunction("""COMPUTED_VALUE"""),240093)</f>
        <v>240093</v>
      </c>
      <c r="N151" s="84" t="n">
        <f aca="false">IFERROR(__xludf.dummyfunction("""COMPUTED_VALUE"""),263640)</f>
        <v>263640</v>
      </c>
      <c r="O151" s="84" t="n">
        <f aca="false">IFERROR(__xludf.dummyfunction("""COMPUTED_VALUE"""),252367)</f>
        <v>252367</v>
      </c>
      <c r="P151" s="84" t="n">
        <f aca="false">IFERROR(__xludf.dummyfunction("""COMPUTED_VALUE"""),1130332)</f>
        <v>1130332</v>
      </c>
      <c r="Q151" s="84" t="n">
        <f aca="false">IFERROR(__xludf.dummyfunction("""COMPUTED_VALUE"""),672135)</f>
        <v>672135</v>
      </c>
      <c r="R151" s="84" t="n">
        <f aca="false">IFERROR(__xludf.dummyfunction("""COMPUTED_VALUE"""),220150)</f>
        <v>220150</v>
      </c>
      <c r="S151" s="84" t="n">
        <f aca="false">IFERROR(__xludf.dummyfunction("""COMPUTED_VALUE"""),195214)</f>
        <v>195214</v>
      </c>
      <c r="T151" s="84" t="n">
        <f aca="false">IFERROR(__xludf.dummyfunction("""COMPUTED_VALUE"""),626922)</f>
        <v>626922</v>
      </c>
      <c r="U151" s="84" t="n">
        <f aca="false">IFERROR(__xludf.dummyfunction("""COMPUTED_VALUE"""),336828)</f>
        <v>336828</v>
      </c>
      <c r="V151" s="84" t="n">
        <f aca="false">IFERROR(__xludf.dummyfunction("""COMPUTED_VALUE"""),0)</f>
        <v>0</v>
      </c>
      <c r="W151" s="84" t="n">
        <f aca="false">IFERROR(__xludf.dummyfunction("""COMPUTED_VALUE"""),407206)</f>
        <v>407206</v>
      </c>
      <c r="X151" s="84" t="n">
        <f aca="false">IFERROR(__xludf.dummyfunction("""COMPUTED_VALUE"""),3)</f>
        <v>3</v>
      </c>
      <c r="Y151" s="84" t="n">
        <f aca="false">IFERROR(__xludf.dummyfunction("""COMPUTED_VALUE"""),2068108)</f>
        <v>2068108</v>
      </c>
      <c r="Z151" s="84" t="n">
        <f aca="false">IFERROR(__xludf.dummyfunction("""COMPUTED_VALUE"""),776858)</f>
        <v>776858</v>
      </c>
      <c r="AA151" s="84" t="n">
        <f aca="false">IFERROR(__xludf.dummyfunction("""COMPUTED_VALUE"""),284255)</f>
        <v>284255</v>
      </c>
      <c r="AB151" s="84" t="n">
        <f aca="false">IFERROR(__xludf.dummyfunction("""COMPUTED_VALUE"""),870060)</f>
        <v>870060</v>
      </c>
      <c r="AC151" s="84" t="n">
        <f aca="false">IFERROR(__xludf.dummyfunction("""COMPUTED_VALUE"""),86976)</f>
        <v>86976</v>
      </c>
      <c r="AD151" s="84" t="n">
        <f aca="false">IFERROR(__xludf.dummyfunction("""COMPUTED_VALUE"""),157784)</f>
        <v>157784</v>
      </c>
      <c r="AE151" s="84" t="n">
        <f aca="false">IFERROR(__xludf.dummyfunction("""COMPUTED_VALUE"""),831328)</f>
        <v>831328</v>
      </c>
      <c r="AF151" s="84" t="n">
        <f aca="false">IFERROR(__xludf.dummyfunction("""COMPUTED_VALUE"""),2)</f>
        <v>2</v>
      </c>
      <c r="AG151" s="84" t="n">
        <f aca="false">IFERROR(__xludf.dummyfunction("""COMPUTED_VALUE"""),1501091)</f>
        <v>1501091</v>
      </c>
      <c r="AH151" s="84" t="n">
        <f aca="false">IFERROR(__xludf.dummyfunction("""COMPUTED_VALUE"""),203987)</f>
        <v>203987</v>
      </c>
      <c r="AI151" s="84" t="n">
        <f aca="false">IFERROR(__xludf.dummyfunction("""COMPUTED_VALUE"""),1696926)</f>
        <v>1696926</v>
      </c>
      <c r="AJ151" s="84" t="n">
        <f aca="false">IFERROR(__xludf.dummyfunction("""COMPUTED_VALUE"""),1716480)</f>
        <v>1716480</v>
      </c>
      <c r="AK151" s="84" t="n">
        <f aca="false">IFERROR(__xludf.dummyfunction("""COMPUTED_VALUE"""),78344)</f>
        <v>78344</v>
      </c>
      <c r="AL151" s="84" t="n">
        <f aca="false">IFERROR(__xludf.dummyfunction("""COMPUTED_VALUE"""),1392691)</f>
        <v>1392691</v>
      </c>
      <c r="AM151" s="84" t="n">
        <f aca="false">IFERROR(__xludf.dummyfunction("""COMPUTED_VALUE"""),455235)</f>
        <v>455235</v>
      </c>
      <c r="AN151" s="84" t="n">
        <f aca="false">IFERROR(__xludf.dummyfunction("""COMPUTED_VALUE"""),485902)</f>
        <v>485902</v>
      </c>
      <c r="AO151" s="84" t="n">
        <f aca="false">IFERROR(__xludf.dummyfunction("""COMPUTED_VALUE"""),1159512)</f>
        <v>1159512</v>
      </c>
      <c r="AP151" s="84" t="n">
        <f aca="false">IFERROR(__xludf.dummyfunction("""COMPUTED_VALUE"""),2)</f>
        <v>2</v>
      </c>
      <c r="AQ151" s="84" t="n">
        <f aca="false">IFERROR(__xludf.dummyfunction("""COMPUTED_VALUE"""),289204)</f>
        <v>289204</v>
      </c>
      <c r="AR151" s="84" t="n">
        <f aca="false">IFERROR(__xludf.dummyfunction("""COMPUTED_VALUE"""),34875)</f>
        <v>34875</v>
      </c>
      <c r="AS151" s="84" t="n">
        <f aca="false">IFERROR(__xludf.dummyfunction("""COMPUTED_VALUE"""),470539)</f>
        <v>470539</v>
      </c>
      <c r="AT151" s="84" t="n">
        <f aca="false">IFERROR(__xludf.dummyfunction("""COMPUTED_VALUE"""),3773607)</f>
        <v>3773607</v>
      </c>
      <c r="AU151" s="84" t="n">
        <f aca="false">IFERROR(__xludf.dummyfunction("""COMPUTED_VALUE"""),587460)</f>
        <v>587460</v>
      </c>
      <c r="AV151" s="84" t="n">
        <f aca="false">IFERROR(__xludf.dummyfunction("""COMPUTED_VALUE"""),166055)</f>
        <v>166055</v>
      </c>
      <c r="AW151" s="84" t="n">
        <f aca="false">IFERROR(__xludf.dummyfunction("""COMPUTED_VALUE"""),159771)</f>
        <v>159771</v>
      </c>
      <c r="AX151" s="84" t="n">
        <f aca="false">IFERROR(__xludf.dummyfunction("""COMPUTED_VALUE"""),377113)</f>
        <v>377113</v>
      </c>
      <c r="AY151" s="84" t="n">
        <f aca="false">IFERROR(__xludf.dummyfunction("""COMPUTED_VALUE"""),45123)</f>
        <v>45123</v>
      </c>
      <c r="AZ151" s="84" t="n">
        <f aca="false">IFERROR(__xludf.dummyfunction("""COMPUTED_VALUE"""),600389)</f>
        <v>600389</v>
      </c>
      <c r="BA151" s="84" t="n">
        <f aca="false">IFERROR(__xludf.dummyfunction("""COMPUTED_VALUE"""),43788)</f>
        <v>43788</v>
      </c>
    </row>
    <row r="152" customFormat="false" ht="15.75" hidden="false" customHeight="false" outlineLevel="0" collapsed="false">
      <c r="A152" s="78" t="str">
        <f aca="false">IFERROR(__xludf.dummyfunction("""COMPUTED_VALUE"""),"buyer_first_name")</f>
        <v>buyer_first_name</v>
      </c>
      <c r="B152" s="72" t="n">
        <f aca="false">IFERROR(__xludf.dummyfunction("""COMPUTED_VALUE"""),83306301)</f>
        <v>83306301</v>
      </c>
      <c r="C152" s="82" t="n">
        <f aca="false">IFERROR(__xludf.dummyfunction("""COMPUTED_VALUE"""),1402440)</f>
        <v>1402440</v>
      </c>
      <c r="D152" s="83" t="n">
        <f aca="false">IFERROR(__xludf.dummyfunction("""COMPUTED_VALUE"""),266473)</f>
        <v>266473</v>
      </c>
      <c r="E152" s="84" t="n">
        <f aca="false">IFERROR(__xludf.dummyfunction("""COMPUTED_VALUE"""),2166609)</f>
        <v>2166609</v>
      </c>
      <c r="F152" s="84" t="n">
        <f aca="false">IFERROR(__xludf.dummyfunction("""COMPUTED_VALUE"""),728783)</f>
        <v>728783</v>
      </c>
      <c r="G152" s="84" t="n">
        <f aca="false">IFERROR(__xludf.dummyfunction("""COMPUTED_VALUE"""),9020744)</f>
        <v>9020744</v>
      </c>
      <c r="H152" s="84" t="n">
        <f aca="false">IFERROR(__xludf.dummyfunction("""COMPUTED_VALUE"""),1703264)</f>
        <v>1703264</v>
      </c>
      <c r="I152" s="84" t="n">
        <f aca="false">IFERROR(__xludf.dummyfunction("""COMPUTED_VALUE"""),929783)</f>
        <v>929783</v>
      </c>
      <c r="J152" s="84" t="n">
        <f aca="false">IFERROR(__xludf.dummyfunction("""COMPUTED_VALUE"""),223707)</f>
        <v>223707</v>
      </c>
      <c r="K152" s="84" t="n">
        <f aca="false">IFERROR(__xludf.dummyfunction("""COMPUTED_VALUE"""),123895)</f>
        <v>123895</v>
      </c>
      <c r="L152" s="84" t="n">
        <f aca="false">IFERROR(__xludf.dummyfunction("""COMPUTED_VALUE"""),7002078)</f>
        <v>7002078</v>
      </c>
      <c r="M152" s="84" t="n">
        <f aca="false">IFERROR(__xludf.dummyfunction("""COMPUTED_VALUE"""),2749210)</f>
        <v>2749210</v>
      </c>
      <c r="N152" s="84" t="n">
        <f aca="false">IFERROR(__xludf.dummyfunction("""COMPUTED_VALUE"""),546861)</f>
        <v>546861</v>
      </c>
      <c r="O152" s="84" t="n">
        <f aca="false">IFERROR(__xludf.dummyfunction("""COMPUTED_VALUE"""),504610)</f>
        <v>504610</v>
      </c>
      <c r="P152" s="84" t="n">
        <f aca="false">IFERROR(__xludf.dummyfunction("""COMPUTED_VALUE"""),3067191)</f>
        <v>3067191</v>
      </c>
      <c r="Q152" s="84" t="n">
        <f aca="false">IFERROR(__xludf.dummyfunction("""COMPUTED_VALUE"""),1419230)</f>
        <v>1419230</v>
      </c>
      <c r="R152" s="84" t="n">
        <f aca="false">IFERROR(__xludf.dummyfunction("""COMPUTED_VALUE"""),678405)</f>
        <v>678405</v>
      </c>
      <c r="S152" s="84" t="n">
        <f aca="false">IFERROR(__xludf.dummyfunction("""COMPUTED_VALUE"""),484346)</f>
        <v>484346</v>
      </c>
      <c r="T152" s="84" t="n">
        <f aca="false">IFERROR(__xludf.dummyfunction("""COMPUTED_VALUE"""),904620)</f>
        <v>904620</v>
      </c>
      <c r="U152" s="84" t="n">
        <f aca="false">IFERROR(__xludf.dummyfunction("""COMPUTED_VALUE"""),718930)</f>
        <v>718930</v>
      </c>
      <c r="V152" s="84" t="n">
        <f aca="false">IFERROR(__xludf.dummyfunction("""COMPUTED_VALUE"""),377846)</f>
        <v>377846</v>
      </c>
      <c r="W152" s="84" t="n">
        <f aca="false">IFERROR(__xludf.dummyfunction("""COMPUTED_VALUE"""),1792320)</f>
        <v>1792320</v>
      </c>
      <c r="X152" s="84" t="n">
        <f aca="false">IFERROR(__xludf.dummyfunction("""COMPUTED_VALUE"""),1781198)</f>
        <v>1781198</v>
      </c>
      <c r="Y152" s="84" t="n">
        <f aca="false">IFERROR(__xludf.dummyfunction("""COMPUTED_VALUE"""),2540537)</f>
        <v>2540537</v>
      </c>
      <c r="Z152" s="84" t="n">
        <f aca="false">IFERROR(__xludf.dummyfunction("""COMPUTED_VALUE"""),1354609)</f>
        <v>1354609</v>
      </c>
      <c r="AA152" s="84" t="n">
        <f aca="false">IFERROR(__xludf.dummyfunction("""COMPUTED_VALUE"""),719041)</f>
        <v>719041</v>
      </c>
      <c r="AB152" s="84" t="n">
        <f aca="false">IFERROR(__xludf.dummyfunction("""COMPUTED_VALUE"""),1658995)</f>
        <v>1658995</v>
      </c>
      <c r="AC152" s="84" t="n">
        <f aca="false">IFERROR(__xludf.dummyfunction("""COMPUTED_VALUE"""),200361)</f>
        <v>200361</v>
      </c>
      <c r="AD152" s="84" t="n">
        <f aca="false">IFERROR(__xludf.dummyfunction("""COMPUTED_VALUE"""),393098)</f>
        <v>393098</v>
      </c>
      <c r="AE152" s="84" t="n">
        <f aca="false">IFERROR(__xludf.dummyfunction("""COMPUTED_VALUE"""),898806)</f>
        <v>898806</v>
      </c>
      <c r="AF152" s="84" t="n">
        <f aca="false">IFERROR(__xludf.dummyfunction("""COMPUTED_VALUE"""),369367)</f>
        <v>369367</v>
      </c>
      <c r="AG152" s="84" t="n">
        <f aca="false">IFERROR(__xludf.dummyfunction("""COMPUTED_VALUE"""),2246479)</f>
        <v>2246479</v>
      </c>
      <c r="AH152" s="84" t="n">
        <f aca="false">IFERROR(__xludf.dummyfunction("""COMPUTED_VALUE"""),659172)</f>
        <v>659172</v>
      </c>
      <c r="AI152" s="84" t="n">
        <f aca="false">IFERROR(__xludf.dummyfunction("""COMPUTED_VALUE"""),3604914)</f>
        <v>3604914</v>
      </c>
      <c r="AJ152" s="84" t="n">
        <f aca="false">IFERROR(__xludf.dummyfunction("""COMPUTED_VALUE"""),2894062)</f>
        <v>2894062</v>
      </c>
      <c r="AK152" s="84" t="n">
        <f aca="false">IFERROR(__xludf.dummyfunction("""COMPUTED_VALUE"""),145551)</f>
        <v>145551</v>
      </c>
      <c r="AL152" s="84" t="n">
        <f aca="false">IFERROR(__xludf.dummyfunction("""COMPUTED_VALUE"""),3299662)</f>
        <v>3299662</v>
      </c>
      <c r="AM152" s="84" t="n">
        <f aca="false">IFERROR(__xludf.dummyfunction("""COMPUTED_VALUE"""),1152181)</f>
        <v>1152181</v>
      </c>
      <c r="AN152" s="84" t="n">
        <f aca="false">IFERROR(__xludf.dummyfunction("""COMPUTED_VALUE"""),1153972)</f>
        <v>1153972</v>
      </c>
      <c r="AO152" s="84" t="n">
        <f aca="false">IFERROR(__xludf.dummyfunction("""COMPUTED_VALUE"""),3141844)</f>
        <v>3141844</v>
      </c>
      <c r="AP152" s="84" t="n">
        <f aca="false">IFERROR(__xludf.dummyfunction("""COMPUTED_VALUE"""),276808)</f>
        <v>276808</v>
      </c>
      <c r="AQ152" s="84" t="n">
        <f aca="false">IFERROR(__xludf.dummyfunction("""COMPUTED_VALUE"""),1562145)</f>
        <v>1562145</v>
      </c>
      <c r="AR152" s="84" t="n">
        <f aca="false">IFERROR(__xludf.dummyfunction("""COMPUTED_VALUE"""),101007)</f>
        <v>101007</v>
      </c>
      <c r="AS152" s="84" t="n">
        <f aca="false">IFERROR(__xludf.dummyfunction("""COMPUTED_VALUE"""),2475481)</f>
        <v>2475481</v>
      </c>
      <c r="AT152" s="84" t="n">
        <f aca="false">IFERROR(__xludf.dummyfunction("""COMPUTED_VALUE"""),6363847)</f>
        <v>6363847</v>
      </c>
      <c r="AU152" s="84" t="n">
        <f aca="false">IFERROR(__xludf.dummyfunction("""COMPUTED_VALUE"""),924596)</f>
        <v>924596</v>
      </c>
      <c r="AV152" s="84" t="n">
        <f aca="false">IFERROR(__xludf.dummyfunction("""COMPUTED_VALUE"""),271635)</f>
        <v>271635</v>
      </c>
      <c r="AW152" s="84" t="n">
        <f aca="false">IFERROR(__xludf.dummyfunction("""COMPUTED_VALUE"""),2183931)</f>
        <v>2183931</v>
      </c>
      <c r="AX152" s="84" t="n">
        <f aca="false">IFERROR(__xludf.dummyfunction("""COMPUTED_VALUE"""),1995194)</f>
        <v>1995194</v>
      </c>
      <c r="AY152" s="84" t="n">
        <f aca="false">IFERROR(__xludf.dummyfunction("""COMPUTED_VALUE"""),510434)</f>
        <v>510434</v>
      </c>
      <c r="AZ152" s="84" t="n">
        <f aca="false">IFERROR(__xludf.dummyfunction("""COMPUTED_VALUE"""),1496142)</f>
        <v>1496142</v>
      </c>
      <c r="BA152" s="84" t="n">
        <f aca="false">IFERROR(__xludf.dummyfunction("""COMPUTED_VALUE"""),119887)</f>
        <v>119887</v>
      </c>
    </row>
    <row r="153" customFormat="false" ht="15.75" hidden="false" customHeight="false" outlineLevel="0" collapsed="false">
      <c r="A153" s="78" t="str">
        <f aca="false">IFERROR(__xludf.dummyfunction("""COMPUTED_VALUE"""),"buyer_last_name")</f>
        <v>buyer_last_name</v>
      </c>
      <c r="B153" s="72" t="n">
        <f aca="false">IFERROR(__xludf.dummyfunction("""COMPUTED_VALUE"""),85507429)</f>
        <v>85507429</v>
      </c>
      <c r="C153" s="82" t="n">
        <f aca="false">IFERROR(__xludf.dummyfunction("""COMPUTED_VALUE"""),1440328)</f>
        <v>1440328</v>
      </c>
      <c r="D153" s="83" t="n">
        <f aca="false">IFERROR(__xludf.dummyfunction("""COMPUTED_VALUE"""),269583)</f>
        <v>269583</v>
      </c>
      <c r="E153" s="84" t="n">
        <f aca="false">IFERROR(__xludf.dummyfunction("""COMPUTED_VALUE"""),2203101)</f>
        <v>2203101</v>
      </c>
      <c r="F153" s="84" t="n">
        <f aca="false">IFERROR(__xludf.dummyfunction("""COMPUTED_VALUE"""),759200)</f>
        <v>759200</v>
      </c>
      <c r="G153" s="84" t="n">
        <f aca="false">IFERROR(__xludf.dummyfunction("""COMPUTED_VALUE"""),9132312)</f>
        <v>9132312</v>
      </c>
      <c r="H153" s="84" t="n">
        <f aca="false">IFERROR(__xludf.dummyfunction("""COMPUTED_VALUE"""),1755320)</f>
        <v>1755320</v>
      </c>
      <c r="I153" s="84" t="n">
        <f aca="false">IFERROR(__xludf.dummyfunction("""COMPUTED_VALUE"""),953276)</f>
        <v>953276</v>
      </c>
      <c r="J153" s="84" t="n">
        <f aca="false">IFERROR(__xludf.dummyfunction("""COMPUTED_VALUE"""),238585)</f>
        <v>238585</v>
      </c>
      <c r="K153" s="84" t="n">
        <f aca="false">IFERROR(__xludf.dummyfunction("""COMPUTED_VALUE"""),128367)</f>
        <v>128367</v>
      </c>
      <c r="L153" s="84" t="n">
        <f aca="false">IFERROR(__xludf.dummyfunction("""COMPUTED_VALUE"""),7201785)</f>
        <v>7201785</v>
      </c>
      <c r="M153" s="84" t="n">
        <f aca="false">IFERROR(__xludf.dummyfunction("""COMPUTED_VALUE"""),3054670)</f>
        <v>3054670</v>
      </c>
      <c r="N153" s="84" t="n">
        <f aca="false">IFERROR(__xludf.dummyfunction("""COMPUTED_VALUE"""),557498)</f>
        <v>557498</v>
      </c>
      <c r="O153" s="84" t="n">
        <f aca="false">IFERROR(__xludf.dummyfunction("""COMPUTED_VALUE"""),516272)</f>
        <v>516272</v>
      </c>
      <c r="P153" s="84" t="n">
        <f aca="false">IFERROR(__xludf.dummyfunction("""COMPUTED_VALUE"""),3173139)</f>
        <v>3173139</v>
      </c>
      <c r="Q153" s="84" t="n">
        <f aca="false">IFERROR(__xludf.dummyfunction("""COMPUTED_VALUE"""),1497303)</f>
        <v>1497303</v>
      </c>
      <c r="R153" s="84" t="n">
        <f aca="false">IFERROR(__xludf.dummyfunction("""COMPUTED_VALUE"""),704818)</f>
        <v>704818</v>
      </c>
      <c r="S153" s="84" t="n">
        <f aca="false">IFERROR(__xludf.dummyfunction("""COMPUTED_VALUE"""),505329)</f>
        <v>505329</v>
      </c>
      <c r="T153" s="84" t="n">
        <f aca="false">IFERROR(__xludf.dummyfunction("""COMPUTED_VALUE"""),942049)</f>
        <v>942049</v>
      </c>
      <c r="U153" s="84" t="n">
        <f aca="false">IFERROR(__xludf.dummyfunction("""COMPUTED_VALUE"""),766153)</f>
        <v>766153</v>
      </c>
      <c r="V153" s="84" t="n">
        <f aca="false">IFERROR(__xludf.dummyfunction("""COMPUTED_VALUE"""),396826)</f>
        <v>396826</v>
      </c>
      <c r="W153" s="84" t="n">
        <f aca="false">IFERROR(__xludf.dummyfunction("""COMPUTED_VALUE"""),1769303)</f>
        <v>1769303</v>
      </c>
      <c r="X153" s="84" t="n">
        <f aca="false">IFERROR(__xludf.dummyfunction("""COMPUTED_VALUE"""),1881272)</f>
        <v>1881272</v>
      </c>
      <c r="Y153" s="84" t="n">
        <f aca="false">IFERROR(__xludf.dummyfunction("""COMPUTED_VALUE"""),2640584)</f>
        <v>2640584</v>
      </c>
      <c r="Z153" s="84" t="n">
        <f aca="false">IFERROR(__xludf.dummyfunction("""COMPUTED_VALUE"""),1395302)</f>
        <v>1395302</v>
      </c>
      <c r="AA153" s="84" t="n">
        <f aca="false">IFERROR(__xludf.dummyfunction("""COMPUTED_VALUE"""),745449)</f>
        <v>745449</v>
      </c>
      <c r="AB153" s="84" t="n">
        <f aca="false">IFERROR(__xludf.dummyfunction("""COMPUTED_VALUE"""),1720935)</f>
        <v>1720935</v>
      </c>
      <c r="AC153" s="84" t="n">
        <f aca="false">IFERROR(__xludf.dummyfunction("""COMPUTED_VALUE"""),206348)</f>
        <v>206348</v>
      </c>
      <c r="AD153" s="84" t="n">
        <f aca="false">IFERROR(__xludf.dummyfunction("""COMPUTED_VALUE"""),423415)</f>
        <v>423415</v>
      </c>
      <c r="AE153" s="84" t="n">
        <f aca="false">IFERROR(__xludf.dummyfunction("""COMPUTED_VALUE"""),922112)</f>
        <v>922112</v>
      </c>
      <c r="AF153" s="84" t="n">
        <f aca="false">IFERROR(__xludf.dummyfunction("""COMPUTED_VALUE"""),402588)</f>
        <v>402588</v>
      </c>
      <c r="AG153" s="84" t="n">
        <f aca="false">IFERROR(__xludf.dummyfunction("""COMPUTED_VALUE"""),2155126)</f>
        <v>2155126</v>
      </c>
      <c r="AH153" s="84" t="n">
        <f aca="false">IFERROR(__xludf.dummyfunction("""COMPUTED_VALUE"""),669561)</f>
        <v>669561</v>
      </c>
      <c r="AI153" s="84" t="n">
        <f aca="false">IFERROR(__xludf.dummyfunction("""COMPUTED_VALUE"""),3745944)</f>
        <v>3745944</v>
      </c>
      <c r="AJ153" s="84" t="n">
        <f aca="false">IFERROR(__xludf.dummyfunction("""COMPUTED_VALUE"""),2999064)</f>
        <v>2999064</v>
      </c>
      <c r="AK153" s="84" t="n">
        <f aca="false">IFERROR(__xludf.dummyfunction("""COMPUTED_VALUE"""),149832)</f>
        <v>149832</v>
      </c>
      <c r="AL153" s="84" t="n">
        <f aca="false">IFERROR(__xludf.dummyfunction("""COMPUTED_VALUE"""),3371104)</f>
        <v>3371104</v>
      </c>
      <c r="AM153" s="84" t="n">
        <f aca="false">IFERROR(__xludf.dummyfunction("""COMPUTED_VALUE"""),1200431)</f>
        <v>1200431</v>
      </c>
      <c r="AN153" s="84" t="n">
        <f aca="false">IFERROR(__xludf.dummyfunction("""COMPUTED_VALUE"""),1175753)</f>
        <v>1175753</v>
      </c>
      <c r="AO153" s="84" t="n">
        <f aca="false">IFERROR(__xludf.dummyfunction("""COMPUTED_VALUE"""),3235768)</f>
        <v>3235768</v>
      </c>
      <c r="AP153" s="84" t="n">
        <f aca="false">IFERROR(__xludf.dummyfunction("""COMPUTED_VALUE"""),289379)</f>
        <v>289379</v>
      </c>
      <c r="AQ153" s="84" t="n">
        <f aca="false">IFERROR(__xludf.dummyfunction("""COMPUTED_VALUE"""),1608147)</f>
        <v>1608147</v>
      </c>
      <c r="AR153" s="84" t="n">
        <f aca="false">IFERROR(__xludf.dummyfunction("""COMPUTED_VALUE"""),104515)</f>
        <v>104515</v>
      </c>
      <c r="AS153" s="84" t="n">
        <f aca="false">IFERROR(__xludf.dummyfunction("""COMPUTED_VALUE"""),2276403)</f>
        <v>2276403</v>
      </c>
      <c r="AT153" s="84" t="n">
        <f aca="false">IFERROR(__xludf.dummyfunction("""COMPUTED_VALUE"""),6490500)</f>
        <v>6490500</v>
      </c>
      <c r="AU153" s="84" t="n">
        <f aca="false">IFERROR(__xludf.dummyfunction("""COMPUTED_VALUE"""),949099)</f>
        <v>949099</v>
      </c>
      <c r="AV153" s="84" t="n">
        <f aca="false">IFERROR(__xludf.dummyfunction("""COMPUTED_VALUE"""),279839)</f>
        <v>279839</v>
      </c>
      <c r="AW153" s="84" t="n">
        <f aca="false">IFERROR(__xludf.dummyfunction("""COMPUTED_VALUE"""),2243766)</f>
        <v>2243766</v>
      </c>
      <c r="AX153" s="84" t="n">
        <f aca="false">IFERROR(__xludf.dummyfunction("""COMPUTED_VALUE"""),2039215)</f>
        <v>2039215</v>
      </c>
      <c r="AY153" s="84" t="n">
        <f aca="false">IFERROR(__xludf.dummyfunction("""COMPUTED_VALUE"""),521783)</f>
        <v>521783</v>
      </c>
      <c r="AZ153" s="84" t="n">
        <f aca="false">IFERROR(__xludf.dummyfunction("""COMPUTED_VALUE"""),1576031)</f>
        <v>1576031</v>
      </c>
      <c r="BA153" s="84" t="n">
        <f aca="false">IFERROR(__xludf.dummyfunction("""COMPUTED_VALUE"""),122947)</f>
        <v>122947</v>
      </c>
    </row>
    <row r="154" customFormat="false" ht="15.75" hidden="false" customHeight="false" outlineLevel="0" collapsed="false">
      <c r="A154" s="78" t="str">
        <f aca="false">IFERROR(__xludf.dummyfunction("""COMPUTED_VALUE"""),"buyer2_first_name")</f>
        <v>buyer2_first_name</v>
      </c>
      <c r="B154" s="72" t="n">
        <f aca="false">IFERROR(__xludf.dummyfunction("""COMPUTED_VALUE"""),56496851)</f>
        <v>56496851</v>
      </c>
      <c r="C154" s="82" t="n">
        <f aca="false">IFERROR(__xludf.dummyfunction("""COMPUTED_VALUE"""),791711)</f>
        <v>791711</v>
      </c>
      <c r="D154" s="83" t="n">
        <f aca="false">IFERROR(__xludf.dummyfunction("""COMPUTED_VALUE"""),126052)</f>
        <v>126052</v>
      </c>
      <c r="E154" s="84" t="n">
        <f aca="false">IFERROR(__xludf.dummyfunction("""COMPUTED_VALUE"""),1807042)</f>
        <v>1807042</v>
      </c>
      <c r="F154" s="84" t="n">
        <f aca="false">IFERROR(__xludf.dummyfunction("""COMPUTED_VALUE"""),464505)</f>
        <v>464505</v>
      </c>
      <c r="G154" s="84" t="n">
        <f aca="false">IFERROR(__xludf.dummyfunction("""COMPUTED_VALUE"""),7508918)</f>
        <v>7508918</v>
      </c>
      <c r="H154" s="84" t="n">
        <f aca="false">IFERROR(__xludf.dummyfunction("""COMPUTED_VALUE"""),1345736)</f>
        <v>1345736</v>
      </c>
      <c r="I154" s="84" t="n">
        <f aca="false">IFERROR(__xludf.dummyfunction("""COMPUTED_VALUE"""),612445)</f>
        <v>612445</v>
      </c>
      <c r="J154" s="84" t="n">
        <f aca="false">IFERROR(__xludf.dummyfunction("""COMPUTED_VALUE"""),149256)</f>
        <v>149256</v>
      </c>
      <c r="K154" s="84" t="n">
        <f aca="false">IFERROR(__xludf.dummyfunction("""COMPUTED_VALUE"""),41044)</f>
        <v>41044</v>
      </c>
      <c r="L154" s="84" t="n">
        <f aca="false">IFERROR(__xludf.dummyfunction("""COMPUTED_VALUE"""),5461862)</f>
        <v>5461862</v>
      </c>
      <c r="M154" s="84" t="n">
        <f aca="false">IFERROR(__xludf.dummyfunction("""COMPUTED_VALUE"""),1395294)</f>
        <v>1395294</v>
      </c>
      <c r="N154" s="84" t="n">
        <f aca="false">IFERROR(__xludf.dummyfunction("""COMPUTED_VALUE"""),301765)</f>
        <v>301765</v>
      </c>
      <c r="O154" s="84" t="n">
        <f aca="false">IFERROR(__xludf.dummyfunction("""COMPUTED_VALUE"""),364780)</f>
        <v>364780</v>
      </c>
      <c r="P154" s="84" t="n">
        <f aca="false">IFERROR(__xludf.dummyfunction("""COMPUTED_VALUE"""),2162406)</f>
        <v>2162406</v>
      </c>
      <c r="Q154" s="84" t="n">
        <f aca="false">IFERROR(__xludf.dummyfunction("""COMPUTED_VALUE"""),895585)</f>
        <v>895585</v>
      </c>
      <c r="R154" s="84" t="n">
        <f aca="false">IFERROR(__xludf.dummyfunction("""COMPUTED_VALUE"""),450941)</f>
        <v>450941</v>
      </c>
      <c r="S154" s="84" t="n">
        <f aca="false">IFERROR(__xludf.dummyfunction("""COMPUTED_VALUE"""),346471)</f>
        <v>346471</v>
      </c>
      <c r="T154" s="84" t="n">
        <f aca="false">IFERROR(__xludf.dummyfunction("""COMPUTED_VALUE"""),558748)</f>
        <v>558748</v>
      </c>
      <c r="U154" s="84" t="n">
        <f aca="false">IFERROR(__xludf.dummyfunction("""COMPUTED_VALUE"""),347239)</f>
        <v>347239</v>
      </c>
      <c r="V154" s="84" t="n">
        <f aca="false">IFERROR(__xludf.dummyfunction("""COMPUTED_VALUE"""),249845)</f>
        <v>249845</v>
      </c>
      <c r="W154" s="84" t="n">
        <f aca="false">IFERROR(__xludf.dummyfunction("""COMPUTED_VALUE"""),1107791)</f>
        <v>1107791</v>
      </c>
      <c r="X154" s="84" t="n">
        <f aca="false">IFERROR(__xludf.dummyfunction("""COMPUTED_VALUE"""),1399393)</f>
        <v>1399393</v>
      </c>
      <c r="Y154" s="84" t="n">
        <f aca="false">IFERROR(__xludf.dummyfunction("""COMPUTED_VALUE"""),1608883)</f>
        <v>1608883</v>
      </c>
      <c r="Z154" s="84" t="n">
        <f aca="false">IFERROR(__xludf.dummyfunction("""COMPUTED_VALUE"""),978684)</f>
        <v>978684</v>
      </c>
      <c r="AA154" s="84" t="n">
        <f aca="false">IFERROR(__xludf.dummyfunction("""COMPUTED_VALUE"""),294038)</f>
        <v>294038</v>
      </c>
      <c r="AB154" s="84" t="n">
        <f aca="false">IFERROR(__xludf.dummyfunction("""COMPUTED_VALUE"""),1185149)</f>
        <v>1185149</v>
      </c>
      <c r="AC154" s="84" t="n">
        <f aca="false">IFERROR(__xludf.dummyfunction("""COMPUTED_VALUE"""),143203)</f>
        <v>143203</v>
      </c>
      <c r="AD154" s="84" t="n">
        <f aca="false">IFERROR(__xludf.dummyfunction("""COMPUTED_VALUE"""),271293)</f>
        <v>271293</v>
      </c>
      <c r="AE154" s="84" t="n">
        <f aca="false">IFERROR(__xludf.dummyfunction("""COMPUTED_VALUE"""),723647)</f>
        <v>723647</v>
      </c>
      <c r="AF154" s="84" t="n">
        <f aca="false">IFERROR(__xludf.dummyfunction("""COMPUTED_VALUE"""),288058)</f>
        <v>288058</v>
      </c>
      <c r="AG154" s="84" t="n">
        <f aca="false">IFERROR(__xludf.dummyfunction("""COMPUTED_VALUE"""),1625749)</f>
        <v>1625749</v>
      </c>
      <c r="AH154" s="84" t="n">
        <f aca="false">IFERROR(__xludf.dummyfunction("""COMPUTED_VALUE"""),418134)</f>
        <v>418134</v>
      </c>
      <c r="AI154" s="84" t="n">
        <f aca="false">IFERROR(__xludf.dummyfunction("""COMPUTED_VALUE"""),1842107)</f>
        <v>1842107</v>
      </c>
      <c r="AJ154" s="84" t="n">
        <f aca="false">IFERROR(__xludf.dummyfunction("""COMPUTED_VALUE"""),1915977)</f>
        <v>1915977</v>
      </c>
      <c r="AK154" s="84" t="n">
        <f aca="false">IFERROR(__xludf.dummyfunction("""COMPUTED_VALUE"""),99134)</f>
        <v>99134</v>
      </c>
      <c r="AL154" s="84" t="n">
        <f aca="false">IFERROR(__xludf.dummyfunction("""COMPUTED_VALUE"""),2230189)</f>
        <v>2230189</v>
      </c>
      <c r="AM154" s="84" t="n">
        <f aca="false">IFERROR(__xludf.dummyfunction("""COMPUTED_VALUE"""),738556)</f>
        <v>738556</v>
      </c>
      <c r="AN154" s="84" t="n">
        <f aca="false">IFERROR(__xludf.dummyfunction("""COMPUTED_VALUE"""),873346)</f>
        <v>873346</v>
      </c>
      <c r="AO154" s="84" t="n">
        <f aca="false">IFERROR(__xludf.dummyfunction("""COMPUTED_VALUE"""),1956755)</f>
        <v>1956755</v>
      </c>
      <c r="AP154" s="84" t="n">
        <f aca="false">IFERROR(__xludf.dummyfunction("""COMPUTED_VALUE"""),189310)</f>
        <v>189310</v>
      </c>
      <c r="AQ154" s="84" t="n">
        <f aca="false">IFERROR(__xludf.dummyfunction("""COMPUTED_VALUE"""),926906)</f>
        <v>926906</v>
      </c>
      <c r="AR154" s="84" t="n">
        <f aca="false">IFERROR(__xludf.dummyfunction("""COMPUTED_VALUE"""),62389)</f>
        <v>62389</v>
      </c>
      <c r="AS154" s="84" t="n">
        <f aca="false">IFERROR(__xludf.dummyfunction("""COMPUTED_VALUE"""),1310268)</f>
        <v>1310268</v>
      </c>
      <c r="AT154" s="84" t="n">
        <f aca="false">IFERROR(__xludf.dummyfunction("""COMPUTED_VALUE"""),4166331)</f>
        <v>4166331</v>
      </c>
      <c r="AU154" s="84" t="n">
        <f aca="false">IFERROR(__xludf.dummyfunction("""COMPUTED_VALUE"""),723200)</f>
        <v>723200</v>
      </c>
      <c r="AV154" s="84" t="n">
        <f aca="false">IFERROR(__xludf.dummyfunction("""COMPUTED_VALUE"""),193067)</f>
        <v>193067</v>
      </c>
      <c r="AW154" s="84" t="n">
        <f aca="false">IFERROR(__xludf.dummyfunction("""COMPUTED_VALUE"""),959778)</f>
        <v>959778</v>
      </c>
      <c r="AX154" s="84" t="n">
        <f aca="false">IFERROR(__xludf.dummyfunction("""COMPUTED_VALUE"""),1571936)</f>
        <v>1571936</v>
      </c>
      <c r="AY154" s="84" t="n">
        <f aca="false">IFERROR(__xludf.dummyfunction("""COMPUTED_VALUE"""),262219)</f>
        <v>262219</v>
      </c>
      <c r="AZ154" s="84" t="n">
        <f aca="false">IFERROR(__xludf.dummyfunction("""COMPUTED_VALUE"""),968805)</f>
        <v>968805</v>
      </c>
      <c r="BA154" s="84" t="n">
        <f aca="false">IFERROR(__xludf.dummyfunction("""COMPUTED_VALUE"""),80911)</f>
        <v>80911</v>
      </c>
    </row>
    <row r="155" customFormat="false" ht="15.75" hidden="false" customHeight="false" outlineLevel="0" collapsed="false">
      <c r="A155" s="78" t="str">
        <f aca="false">IFERROR(__xludf.dummyfunction("""COMPUTED_VALUE"""),"buyer2_last_name")</f>
        <v>buyer2_last_name</v>
      </c>
      <c r="B155" s="72" t="n">
        <f aca="false">IFERROR(__xludf.dummyfunction("""COMPUTED_VALUE"""),58928745)</f>
        <v>58928745</v>
      </c>
      <c r="C155" s="82" t="n">
        <f aca="false">IFERROR(__xludf.dummyfunction("""COMPUTED_VALUE"""),807946)</f>
        <v>807946</v>
      </c>
      <c r="D155" s="83" t="n">
        <f aca="false">IFERROR(__xludf.dummyfunction("""COMPUTED_VALUE"""),128253)</f>
        <v>128253</v>
      </c>
      <c r="E155" s="84" t="n">
        <f aca="false">IFERROR(__xludf.dummyfunction("""COMPUTED_VALUE"""),1892473)</f>
        <v>1892473</v>
      </c>
      <c r="F155" s="84" t="n">
        <f aca="false">IFERROR(__xludf.dummyfunction("""COMPUTED_VALUE"""),482573)</f>
        <v>482573</v>
      </c>
      <c r="G155" s="84" t="n">
        <f aca="false">IFERROR(__xludf.dummyfunction("""COMPUTED_VALUE"""),8189492)</f>
        <v>8189492</v>
      </c>
      <c r="H155" s="84" t="n">
        <f aca="false">IFERROR(__xludf.dummyfunction("""COMPUTED_VALUE"""),1366274)</f>
        <v>1366274</v>
      </c>
      <c r="I155" s="84" t="n">
        <f aca="false">IFERROR(__xludf.dummyfunction("""COMPUTED_VALUE"""),613185)</f>
        <v>613185</v>
      </c>
      <c r="J155" s="84" t="n">
        <f aca="false">IFERROR(__xludf.dummyfunction("""COMPUTED_VALUE"""),156577)</f>
        <v>156577</v>
      </c>
      <c r="K155" s="84" t="n">
        <f aca="false">IFERROR(__xludf.dummyfunction("""COMPUTED_VALUE"""),52941)</f>
        <v>52941</v>
      </c>
      <c r="L155" s="84" t="n">
        <f aca="false">IFERROR(__xludf.dummyfunction("""COMPUTED_VALUE"""),5692881)</f>
        <v>5692881</v>
      </c>
      <c r="M155" s="84" t="n">
        <f aca="false">IFERROR(__xludf.dummyfunction("""COMPUTED_VALUE"""),1430949)</f>
        <v>1430949</v>
      </c>
      <c r="N155" s="84" t="n">
        <f aca="false">IFERROR(__xludf.dummyfunction("""COMPUTED_VALUE"""),346763)</f>
        <v>346763</v>
      </c>
      <c r="O155" s="84" t="n">
        <f aca="false">IFERROR(__xludf.dummyfunction("""COMPUTED_VALUE"""),375837)</f>
        <v>375837</v>
      </c>
      <c r="P155" s="84" t="n">
        <f aca="false">IFERROR(__xludf.dummyfunction("""COMPUTED_VALUE"""),2369421)</f>
        <v>2369421</v>
      </c>
      <c r="Q155" s="84" t="n">
        <f aca="false">IFERROR(__xludf.dummyfunction("""COMPUTED_VALUE"""),939053)</f>
        <v>939053</v>
      </c>
      <c r="R155" s="84" t="n">
        <f aca="false">IFERROR(__xludf.dummyfunction("""COMPUTED_VALUE"""),462443)</f>
        <v>462443</v>
      </c>
      <c r="S155" s="84" t="n">
        <f aca="false">IFERROR(__xludf.dummyfunction("""COMPUTED_VALUE"""),359031)</f>
        <v>359031</v>
      </c>
      <c r="T155" s="84" t="n">
        <f aca="false">IFERROR(__xludf.dummyfunction("""COMPUTED_VALUE"""),572885)</f>
        <v>572885</v>
      </c>
      <c r="U155" s="84" t="n">
        <f aca="false">IFERROR(__xludf.dummyfunction("""COMPUTED_VALUE"""),355979)</f>
        <v>355979</v>
      </c>
      <c r="V155" s="84" t="n">
        <f aca="false">IFERROR(__xludf.dummyfunction("""COMPUTED_VALUE"""),250506)</f>
        <v>250506</v>
      </c>
      <c r="W155" s="84" t="n">
        <f aca="false">IFERROR(__xludf.dummyfunction("""COMPUTED_VALUE"""),1034745)</f>
        <v>1034745</v>
      </c>
      <c r="X155" s="84" t="n">
        <f aca="false">IFERROR(__xludf.dummyfunction("""COMPUTED_VALUE"""),1404149)</f>
        <v>1404149</v>
      </c>
      <c r="Y155" s="84" t="n">
        <f aca="false">IFERROR(__xludf.dummyfunction("""COMPUTED_VALUE"""),1762026)</f>
        <v>1762026</v>
      </c>
      <c r="Z155" s="84" t="n">
        <f aca="false">IFERROR(__xludf.dummyfunction("""COMPUTED_VALUE"""),1000292)</f>
        <v>1000292</v>
      </c>
      <c r="AA155" s="84" t="n">
        <f aca="false">IFERROR(__xludf.dummyfunction("""COMPUTED_VALUE"""),297598)</f>
        <v>297598</v>
      </c>
      <c r="AB155" s="84" t="n">
        <f aca="false">IFERROR(__xludf.dummyfunction("""COMPUTED_VALUE"""),1236607)</f>
        <v>1236607</v>
      </c>
      <c r="AC155" s="84" t="n">
        <f aca="false">IFERROR(__xludf.dummyfunction("""COMPUTED_VALUE"""),146756)</f>
        <v>146756</v>
      </c>
      <c r="AD155" s="84" t="n">
        <f aca="false">IFERROR(__xludf.dummyfunction("""COMPUTED_VALUE"""),280928)</f>
        <v>280928</v>
      </c>
      <c r="AE155" s="84" t="n">
        <f aca="false">IFERROR(__xludf.dummyfunction("""COMPUTED_VALUE"""),773937)</f>
        <v>773937</v>
      </c>
      <c r="AF155" s="84" t="n">
        <f aca="false">IFERROR(__xludf.dummyfunction("""COMPUTED_VALUE"""),288435)</f>
        <v>288435</v>
      </c>
      <c r="AG155" s="84" t="n">
        <f aca="false">IFERROR(__xludf.dummyfunction("""COMPUTED_VALUE"""),1515283)</f>
        <v>1515283</v>
      </c>
      <c r="AH155" s="84" t="n">
        <f aca="false">IFERROR(__xludf.dummyfunction("""COMPUTED_VALUE"""),431263)</f>
        <v>431263</v>
      </c>
      <c r="AI155" s="84" t="n">
        <f aca="false">IFERROR(__xludf.dummyfunction("""COMPUTED_VALUE"""),1962858)</f>
        <v>1962858</v>
      </c>
      <c r="AJ155" s="84" t="n">
        <f aca="false">IFERROR(__xludf.dummyfunction("""COMPUTED_VALUE"""),1965504)</f>
        <v>1965504</v>
      </c>
      <c r="AK155" s="84" t="n">
        <f aca="false">IFERROR(__xludf.dummyfunction("""COMPUTED_VALUE"""),100344)</f>
        <v>100344</v>
      </c>
      <c r="AL155" s="84" t="n">
        <f aca="false">IFERROR(__xludf.dummyfunction("""COMPUTED_VALUE"""),2363740)</f>
        <v>2363740</v>
      </c>
      <c r="AM155" s="84" t="n">
        <f aca="false">IFERROR(__xludf.dummyfunction("""COMPUTED_VALUE"""),766637)</f>
        <v>766637</v>
      </c>
      <c r="AN155" s="84" t="n">
        <f aca="false">IFERROR(__xludf.dummyfunction("""COMPUTED_VALUE"""),918572)</f>
        <v>918572</v>
      </c>
      <c r="AO155" s="84" t="n">
        <f aca="false">IFERROR(__xludf.dummyfunction("""COMPUTED_VALUE"""),2008099)</f>
        <v>2008099</v>
      </c>
      <c r="AP155" s="84" t="n">
        <f aca="false">IFERROR(__xludf.dummyfunction("""COMPUTED_VALUE"""),189774)</f>
        <v>189774</v>
      </c>
      <c r="AQ155" s="84" t="n">
        <f aca="false">IFERROR(__xludf.dummyfunction("""COMPUTED_VALUE"""),966835)</f>
        <v>966835</v>
      </c>
      <c r="AR155" s="84" t="n">
        <f aca="false">IFERROR(__xludf.dummyfunction("""COMPUTED_VALUE"""),63290)</f>
        <v>63290</v>
      </c>
      <c r="AS155" s="84" t="n">
        <f aca="false">IFERROR(__xludf.dummyfunction("""COMPUTED_VALUE"""),1351666)</f>
        <v>1351666</v>
      </c>
      <c r="AT155" s="84" t="n">
        <f aca="false">IFERROR(__xludf.dummyfunction("""COMPUTED_VALUE"""),4272246)</f>
        <v>4272246</v>
      </c>
      <c r="AU155" s="84" t="n">
        <f aca="false">IFERROR(__xludf.dummyfunction("""COMPUTED_VALUE"""),759448)</f>
        <v>759448</v>
      </c>
      <c r="AV155" s="84" t="n">
        <f aca="false">IFERROR(__xludf.dummyfunction("""COMPUTED_VALUE"""),194480)</f>
        <v>194480</v>
      </c>
      <c r="AW155" s="84" t="n">
        <f aca="false">IFERROR(__xludf.dummyfunction("""COMPUTED_VALUE"""),1065310)</f>
        <v>1065310</v>
      </c>
      <c r="AX155" s="84" t="n">
        <f aca="false">IFERROR(__xludf.dummyfunction("""COMPUTED_VALUE"""),1612062)</f>
        <v>1612062</v>
      </c>
      <c r="AY155" s="84" t="n">
        <f aca="false">IFERROR(__xludf.dummyfunction("""COMPUTED_VALUE"""),264210)</f>
        <v>264210</v>
      </c>
      <c r="AZ155" s="84" t="n">
        <f aca="false">IFERROR(__xludf.dummyfunction("""COMPUTED_VALUE"""),1001636)</f>
        <v>1001636</v>
      </c>
      <c r="BA155" s="84" t="n">
        <f aca="false">IFERROR(__xludf.dummyfunction("""COMPUTED_VALUE"""),84553)</f>
        <v>84553</v>
      </c>
    </row>
    <row r="156" customFormat="false" ht="15.75" hidden="false" customHeight="false" outlineLevel="0" collapsed="false">
      <c r="A156" s="78" t="str">
        <f aca="false">IFERROR(__xludf.dummyfunction("""COMPUTED_VALUE"""),"buyer_address")</f>
        <v>buyer_address</v>
      </c>
      <c r="B156" s="72" t="n">
        <f aca="false">IFERROR(__xludf.dummyfunction("""COMPUTED_VALUE"""),69137967)</f>
        <v>69137967</v>
      </c>
      <c r="C156" s="82" t="n">
        <f aca="false">IFERROR(__xludf.dummyfunction("""COMPUTED_VALUE"""),798001)</f>
        <v>798001</v>
      </c>
      <c r="D156" s="83" t="n">
        <f aca="false">IFERROR(__xludf.dummyfunction("""COMPUTED_VALUE"""),143583)</f>
        <v>143583</v>
      </c>
      <c r="E156" s="84" t="n">
        <f aca="false">IFERROR(__xludf.dummyfunction("""COMPUTED_VALUE"""),2147775)</f>
        <v>2147775</v>
      </c>
      <c r="F156" s="84" t="n">
        <f aca="false">IFERROR(__xludf.dummyfunction("""COMPUTED_VALUE"""),594529)</f>
        <v>594529</v>
      </c>
      <c r="G156" s="84" t="n">
        <f aca="false">IFERROR(__xludf.dummyfunction("""COMPUTED_VALUE"""),8895626)</f>
        <v>8895626</v>
      </c>
      <c r="H156" s="84" t="n">
        <f aca="false">IFERROR(__xludf.dummyfunction("""COMPUTED_VALUE"""),1635864)</f>
        <v>1635864</v>
      </c>
      <c r="I156" s="84" t="n">
        <f aca="false">IFERROR(__xludf.dummyfunction("""COMPUTED_VALUE"""),125337)</f>
        <v>125337</v>
      </c>
      <c r="J156" s="84" t="n">
        <f aca="false">IFERROR(__xludf.dummyfunction("""COMPUTED_VALUE"""),223384)</f>
        <v>223384</v>
      </c>
      <c r="K156" s="84" t="n">
        <f aca="false">IFERROR(__xludf.dummyfunction("""COMPUTED_VALUE"""),42363)</f>
        <v>42363</v>
      </c>
      <c r="L156" s="84" t="n">
        <f aca="false">IFERROR(__xludf.dummyfunction("""COMPUTED_VALUE"""),6920489)</f>
        <v>6920489</v>
      </c>
      <c r="M156" s="84" t="n">
        <f aca="false">IFERROR(__xludf.dummyfunction("""COMPUTED_VALUE"""),1984440)</f>
        <v>1984440</v>
      </c>
      <c r="N156" s="84" t="n">
        <f aca="false">IFERROR(__xludf.dummyfunction("""COMPUTED_VALUE"""),381301)</f>
        <v>381301</v>
      </c>
      <c r="O156" s="84" t="n">
        <f aca="false">IFERROR(__xludf.dummyfunction("""COMPUTED_VALUE"""),425494)</f>
        <v>425494</v>
      </c>
      <c r="P156" s="84" t="n">
        <f aca="false">IFERROR(__xludf.dummyfunction("""COMPUTED_VALUE"""),2918970)</f>
        <v>2918970</v>
      </c>
      <c r="Q156" s="84" t="n">
        <f aca="false">IFERROR(__xludf.dummyfunction("""COMPUTED_VALUE"""),1333647)</f>
        <v>1333647</v>
      </c>
      <c r="R156" s="84" t="n">
        <f aca="false">IFERROR(__xludf.dummyfunction("""COMPUTED_VALUE"""),605906)</f>
        <v>605906</v>
      </c>
      <c r="S156" s="84" t="n">
        <f aca="false">IFERROR(__xludf.dummyfunction("""COMPUTED_VALUE"""),287634)</f>
        <v>287634</v>
      </c>
      <c r="T156" s="84" t="n">
        <f aca="false">IFERROR(__xludf.dummyfunction("""COMPUTED_VALUE"""),704645)</f>
        <v>704645</v>
      </c>
      <c r="U156" s="84" t="n">
        <f aca="false">IFERROR(__xludf.dummyfunction("""COMPUTED_VALUE"""),496698)</f>
        <v>496698</v>
      </c>
      <c r="V156" s="84" t="n">
        <f aca="false">IFERROR(__xludf.dummyfunction("""COMPUTED_VALUE"""),57639)</f>
        <v>57639</v>
      </c>
      <c r="W156" s="84" t="n">
        <f aca="false">IFERROR(__xludf.dummyfunction("""COMPUTED_VALUE"""),1519842)</f>
        <v>1519842</v>
      </c>
      <c r="X156" s="84" t="n">
        <f aca="false">IFERROR(__xludf.dummyfunction("""COMPUTED_VALUE"""),480103)</f>
        <v>480103</v>
      </c>
      <c r="Y156" s="84" t="n">
        <f aca="false">IFERROR(__xludf.dummyfunction("""COMPUTED_VALUE"""),2512696)</f>
        <v>2512696</v>
      </c>
      <c r="Z156" s="84" t="n">
        <f aca="false">IFERROR(__xludf.dummyfunction("""COMPUTED_VALUE"""),1234852)</f>
        <v>1234852</v>
      </c>
      <c r="AA156" s="84" t="n">
        <f aca="false">IFERROR(__xludf.dummyfunction("""COMPUTED_VALUE"""),319541)</f>
        <v>319541</v>
      </c>
      <c r="AB156" s="84" t="n">
        <f aca="false">IFERROR(__xludf.dummyfunction("""COMPUTED_VALUE"""),1398969)</f>
        <v>1398969</v>
      </c>
      <c r="AC156" s="84" t="n">
        <f aca="false">IFERROR(__xludf.dummyfunction("""COMPUTED_VALUE"""),174298)</f>
        <v>174298</v>
      </c>
      <c r="AD156" s="84" t="n">
        <f aca="false">IFERROR(__xludf.dummyfunction("""COMPUTED_VALUE"""),143041)</f>
        <v>143041</v>
      </c>
      <c r="AE156" s="84" t="n">
        <f aca="false">IFERROR(__xludf.dummyfunction("""COMPUTED_VALUE"""),906882)</f>
        <v>906882</v>
      </c>
      <c r="AF156" s="84" t="n">
        <f aca="false">IFERROR(__xludf.dummyfunction("""COMPUTED_VALUE"""),76004)</f>
        <v>76004</v>
      </c>
      <c r="AG156" s="84" t="n">
        <f aca="false">IFERROR(__xludf.dummyfunction("""COMPUTED_VALUE"""),1661860)</f>
        <v>1661860</v>
      </c>
      <c r="AH156" s="84" t="n">
        <f aca="false">IFERROR(__xludf.dummyfunction("""COMPUTED_VALUE"""),405046)</f>
        <v>405046</v>
      </c>
      <c r="AI156" s="84" t="n">
        <f aca="false">IFERROR(__xludf.dummyfunction("""COMPUTED_VALUE"""),3166514)</f>
        <v>3166514</v>
      </c>
      <c r="AJ156" s="84" t="n">
        <f aca="false">IFERROR(__xludf.dummyfunction("""COMPUTED_VALUE"""),2402539)</f>
        <v>2402539</v>
      </c>
      <c r="AK156" s="84" t="n">
        <f aca="false">IFERROR(__xludf.dummyfunction("""COMPUTED_VALUE"""),112134)</f>
        <v>112134</v>
      </c>
      <c r="AL156" s="84" t="n">
        <f aca="false">IFERROR(__xludf.dummyfunction("""COMPUTED_VALUE"""),3085087)</f>
        <v>3085087</v>
      </c>
      <c r="AM156" s="84" t="n">
        <f aca="false">IFERROR(__xludf.dummyfunction("""COMPUTED_VALUE"""),825543)</f>
        <v>825543</v>
      </c>
      <c r="AN156" s="84" t="n">
        <f aca="false">IFERROR(__xludf.dummyfunction("""COMPUTED_VALUE"""),1000807)</f>
        <v>1000807</v>
      </c>
      <c r="AO156" s="84" t="n">
        <f aca="false">IFERROR(__xludf.dummyfunction("""COMPUTED_VALUE"""),2655776)</f>
        <v>2655776</v>
      </c>
      <c r="AP156" s="84" t="n">
        <f aca="false">IFERROR(__xludf.dummyfunction("""COMPUTED_VALUE"""),40947)</f>
        <v>40947</v>
      </c>
      <c r="AQ156" s="84" t="n">
        <f aca="false">IFERROR(__xludf.dummyfunction("""COMPUTED_VALUE"""),1343221)</f>
        <v>1343221</v>
      </c>
      <c r="AR156" s="84" t="n">
        <f aca="false">IFERROR(__xludf.dummyfunction("""COMPUTED_VALUE"""),70987)</f>
        <v>70987</v>
      </c>
      <c r="AS156" s="84" t="n">
        <f aca="false">IFERROR(__xludf.dummyfunction("""COMPUTED_VALUE"""),1892853)</f>
        <v>1892853</v>
      </c>
      <c r="AT156" s="84" t="n">
        <f aca="false">IFERROR(__xludf.dummyfunction("""COMPUTED_VALUE"""),5922953)</f>
        <v>5922953</v>
      </c>
      <c r="AU156" s="84" t="n">
        <f aca="false">IFERROR(__xludf.dummyfunction("""COMPUTED_VALUE"""),789433)</f>
        <v>789433</v>
      </c>
      <c r="AV156" s="84" t="n">
        <f aca="false">IFERROR(__xludf.dummyfunction("""COMPUTED_VALUE"""),183174)</f>
        <v>183174</v>
      </c>
      <c r="AW156" s="84" t="n">
        <f aca="false">IFERROR(__xludf.dummyfunction("""COMPUTED_VALUE"""),1052537)</f>
        <v>1052537</v>
      </c>
      <c r="AX156" s="84" t="n">
        <f aca="false">IFERROR(__xludf.dummyfunction("""COMPUTED_VALUE"""),1799552)</f>
        <v>1799552</v>
      </c>
      <c r="AY156" s="84" t="n">
        <f aca="false">IFERROR(__xludf.dummyfunction("""COMPUTED_VALUE"""),96153)</f>
        <v>96153</v>
      </c>
      <c r="AZ156" s="84" t="n">
        <f aca="false">IFERROR(__xludf.dummyfunction("""COMPUTED_VALUE"""),1050417)</f>
        <v>1050417</v>
      </c>
      <c r="BA156" s="84" t="n">
        <f aca="false">IFERROR(__xludf.dummyfunction("""COMPUTED_VALUE"""),90881)</f>
        <v>90881</v>
      </c>
    </row>
    <row r="157" customFormat="false" ht="15.75" hidden="false" customHeight="false" outlineLevel="0" collapsed="false">
      <c r="A157" s="78" t="str">
        <f aca="false">IFERROR(__xludf.dummyfunction("""COMPUTED_VALUE"""),"buyer_unit_type")</f>
        <v>buyer_unit_type</v>
      </c>
      <c r="B157" s="72" t="n">
        <f aca="false">IFERROR(__xludf.dummyfunction("""COMPUTED_VALUE"""),12316324)</f>
        <v>12316324</v>
      </c>
      <c r="C157" s="82" t="n">
        <f aca="false">IFERROR(__xludf.dummyfunction("""COMPUTED_VALUE"""),68421)</f>
        <v>68421</v>
      </c>
      <c r="D157" s="83" t="n">
        <f aca="false">IFERROR(__xludf.dummyfunction("""COMPUTED_VALUE"""),16379)</f>
        <v>16379</v>
      </c>
      <c r="E157" s="84" t="n">
        <f aca="false">IFERROR(__xludf.dummyfunction("""COMPUTED_VALUE"""),730167)</f>
        <v>730167</v>
      </c>
      <c r="F157" s="84" t="n">
        <f aca="false">IFERROR(__xludf.dummyfunction("""COMPUTED_VALUE"""),39573)</f>
        <v>39573</v>
      </c>
      <c r="G157" s="84" t="n">
        <f aca="false">IFERROR(__xludf.dummyfunction("""COMPUTED_VALUE"""),1970703)</f>
        <v>1970703</v>
      </c>
      <c r="H157" s="84" t="n">
        <f aca="false">IFERROR(__xludf.dummyfunction("""COMPUTED_VALUE"""),338589)</f>
        <v>338589</v>
      </c>
      <c r="I157" s="84" t="n">
        <f aca="false">IFERROR(__xludf.dummyfunction("""COMPUTED_VALUE"""),7616)</f>
        <v>7616</v>
      </c>
      <c r="J157" s="84" t="n">
        <f aca="false">IFERROR(__xludf.dummyfunction("""COMPUTED_VALUE"""),25989)</f>
        <v>25989</v>
      </c>
      <c r="K157" s="84" t="n">
        <f aca="false">IFERROR(__xludf.dummyfunction("""COMPUTED_VALUE"""),16695)</f>
        <v>16695</v>
      </c>
      <c r="L157" s="84" t="n">
        <f aca="false">IFERROR(__xludf.dummyfunction("""COMPUTED_VALUE"""),1962095)</f>
        <v>1962095</v>
      </c>
      <c r="M157" s="84" t="n">
        <f aca="false">IFERROR(__xludf.dummyfunction("""COMPUTED_VALUE"""),300804)</f>
        <v>300804</v>
      </c>
      <c r="N157" s="84" t="n">
        <f aca="false">IFERROR(__xludf.dummyfunction("""COMPUTED_VALUE"""),157162)</f>
        <v>157162</v>
      </c>
      <c r="O157" s="84" t="n">
        <f aca="false">IFERROR(__xludf.dummyfunction("""COMPUTED_VALUE"""),35826)</f>
        <v>35826</v>
      </c>
      <c r="P157" s="84" t="n">
        <f aca="false">IFERROR(__xludf.dummyfunction("""COMPUTED_VALUE"""),739904)</f>
        <v>739904</v>
      </c>
      <c r="Q157" s="84" t="n">
        <f aca="false">IFERROR(__xludf.dummyfunction("""COMPUTED_VALUE"""),171538)</f>
        <v>171538</v>
      </c>
      <c r="R157" s="84" t="n">
        <f aca="false">IFERROR(__xludf.dummyfunction("""COMPUTED_VALUE"""),42422)</f>
        <v>42422</v>
      </c>
      <c r="S157" s="84" t="n">
        <f aca="false">IFERROR(__xludf.dummyfunction("""COMPUTED_VALUE"""),27081)</f>
        <v>27081</v>
      </c>
      <c r="T157" s="84" t="n">
        <f aca="false">IFERROR(__xludf.dummyfunction("""COMPUTED_VALUE"""),50948)</f>
        <v>50948</v>
      </c>
      <c r="U157" s="84" t="n">
        <f aca="false">IFERROR(__xludf.dummyfunction("""COMPUTED_VALUE"""),33859)</f>
        <v>33859</v>
      </c>
      <c r="V157" s="84" t="n">
        <f aca="false">IFERROR(__xludf.dummyfunction("""COMPUTED_VALUE"""),7236)</f>
        <v>7236</v>
      </c>
      <c r="W157" s="84" t="n">
        <f aca="false">IFERROR(__xludf.dummyfunction("""COMPUTED_VALUE"""),227877)</f>
        <v>227877</v>
      </c>
      <c r="X157" s="84" t="n">
        <f aca="false">IFERROR(__xludf.dummyfunction("""COMPUTED_VALUE"""),83392)</f>
        <v>83392</v>
      </c>
      <c r="Y157" s="84" t="n">
        <f aca="false">IFERROR(__xludf.dummyfunction("""COMPUTED_VALUE"""),528370)</f>
        <v>528370</v>
      </c>
      <c r="Z157" s="84" t="n">
        <f aca="false">IFERROR(__xludf.dummyfunction("""COMPUTED_VALUE"""),165691)</f>
        <v>165691</v>
      </c>
      <c r="AA157" s="84" t="n">
        <f aca="false">IFERROR(__xludf.dummyfunction("""COMPUTED_VALUE"""),15763)</f>
        <v>15763</v>
      </c>
      <c r="AB157" s="84" t="n">
        <f aca="false">IFERROR(__xludf.dummyfunction("""COMPUTED_VALUE"""),161504)</f>
        <v>161504</v>
      </c>
      <c r="AC157" s="84" t="n">
        <f aca="false">IFERROR(__xludf.dummyfunction("""COMPUTED_VALUE"""),15265)</f>
        <v>15265</v>
      </c>
      <c r="AD157" s="84" t="n">
        <f aca="false">IFERROR(__xludf.dummyfunction("""COMPUTED_VALUE"""),15006)</f>
        <v>15006</v>
      </c>
      <c r="AE157" s="84" t="n">
        <f aca="false">IFERROR(__xludf.dummyfunction("""COMPUTED_VALUE"""),278803)</f>
        <v>278803</v>
      </c>
      <c r="AF157" s="84" t="n">
        <f aca="false">IFERROR(__xludf.dummyfunction("""COMPUTED_VALUE"""),10893)</f>
        <v>10893</v>
      </c>
      <c r="AG157" s="84" t="n">
        <f aca="false">IFERROR(__xludf.dummyfunction("""COMPUTED_VALUE"""),214465)</f>
        <v>214465</v>
      </c>
      <c r="AH157" s="84" t="n">
        <f aca="false">IFERROR(__xludf.dummyfunction("""COMPUTED_VALUE"""),41628)</f>
        <v>41628</v>
      </c>
      <c r="AI157" s="84" t="n">
        <f aca="false">IFERROR(__xludf.dummyfunction("""COMPUTED_VALUE"""),484052)</f>
        <v>484052</v>
      </c>
      <c r="AJ157" s="84" t="n">
        <f aca="false">IFERROR(__xludf.dummyfunction("""COMPUTED_VALUE"""),299516)</f>
        <v>299516</v>
      </c>
      <c r="AK157" s="84" t="n">
        <f aca="false">IFERROR(__xludf.dummyfunction("""COMPUTED_VALUE"""),10150)</f>
        <v>10150</v>
      </c>
      <c r="AL157" s="84" t="n">
        <f aca="false">IFERROR(__xludf.dummyfunction("""COMPUTED_VALUE"""),418382)</f>
        <v>418382</v>
      </c>
      <c r="AM157" s="84" t="n">
        <f aca="false">IFERROR(__xludf.dummyfunction("""COMPUTED_VALUE"""),73518)</f>
        <v>73518</v>
      </c>
      <c r="AN157" s="84" t="n">
        <f aca="false">IFERROR(__xludf.dummyfunction("""COMPUTED_VALUE"""),120589)</f>
        <v>120589</v>
      </c>
      <c r="AO157" s="84" t="n">
        <f aca="false">IFERROR(__xludf.dummyfunction("""COMPUTED_VALUE"""),234040)</f>
        <v>234040</v>
      </c>
      <c r="AP157" s="84" t="n">
        <f aca="false">IFERROR(__xludf.dummyfunction("""COMPUTED_VALUE"""),5115)</f>
        <v>5115</v>
      </c>
      <c r="AQ157" s="84" t="n">
        <f aca="false">IFERROR(__xludf.dummyfunction("""COMPUTED_VALUE"""),184589)</f>
        <v>184589</v>
      </c>
      <c r="AR157" s="84" t="n">
        <f aca="false">IFERROR(__xludf.dummyfunction("""COMPUTED_VALUE"""),2320)</f>
        <v>2320</v>
      </c>
      <c r="AS157" s="84" t="n">
        <f aca="false">IFERROR(__xludf.dummyfunction("""COMPUTED_VALUE"""),205806)</f>
        <v>205806</v>
      </c>
      <c r="AT157" s="84" t="n">
        <f aca="false">IFERROR(__xludf.dummyfunction("""COMPUTED_VALUE"""),952465)</f>
        <v>952465</v>
      </c>
      <c r="AU157" s="84" t="n">
        <f aca="false">IFERROR(__xludf.dummyfunction("""COMPUTED_VALUE"""),159422)</f>
        <v>159422</v>
      </c>
      <c r="AV157" s="84" t="n">
        <f aca="false">IFERROR(__xludf.dummyfunction("""COMPUTED_VALUE"""),13445)</f>
        <v>13445</v>
      </c>
      <c r="AW157" s="84" t="n">
        <f aca="false">IFERROR(__xludf.dummyfunction("""COMPUTED_VALUE"""),107471)</f>
        <v>107471</v>
      </c>
      <c r="AX157" s="84" t="n">
        <f aca="false">IFERROR(__xludf.dummyfunction("""COMPUTED_VALUE"""),416941)</f>
        <v>416941</v>
      </c>
      <c r="AY157" s="84" t="n">
        <f aca="false">IFERROR(__xludf.dummyfunction("""COMPUTED_VALUE"""),2656)</f>
        <v>2656</v>
      </c>
      <c r="AZ157" s="84" t="n">
        <f aca="false">IFERROR(__xludf.dummyfunction("""COMPUTED_VALUE"""),118943)</f>
        <v>118943</v>
      </c>
      <c r="BA157" s="84" t="n">
        <f aca="false">IFERROR(__xludf.dummyfunction("""COMPUTED_VALUE"""),5240)</f>
        <v>5240</v>
      </c>
    </row>
    <row r="158" customFormat="false" ht="15.75" hidden="false" customHeight="false" outlineLevel="0" collapsed="false">
      <c r="A158" s="78" t="str">
        <f aca="false">IFERROR(__xludf.dummyfunction("""COMPUTED_VALUE"""),"buyer_unit_number")</f>
        <v>buyer_unit_number</v>
      </c>
      <c r="B158" s="72" t="n">
        <f aca="false">IFERROR(__xludf.dummyfunction("""COMPUTED_VALUE"""),12314780)</f>
        <v>12314780</v>
      </c>
      <c r="C158" s="82" t="n">
        <f aca="false">IFERROR(__xludf.dummyfunction("""COMPUTED_VALUE"""),68415)</f>
        <v>68415</v>
      </c>
      <c r="D158" s="83" t="n">
        <f aca="false">IFERROR(__xludf.dummyfunction("""COMPUTED_VALUE"""),16379)</f>
        <v>16379</v>
      </c>
      <c r="E158" s="84" t="n">
        <f aca="false">IFERROR(__xludf.dummyfunction("""COMPUTED_VALUE"""),730138)</f>
        <v>730138</v>
      </c>
      <c r="F158" s="84" t="n">
        <f aca="false">IFERROR(__xludf.dummyfunction("""COMPUTED_VALUE"""),39560)</f>
        <v>39560</v>
      </c>
      <c r="G158" s="84" t="n">
        <f aca="false">IFERROR(__xludf.dummyfunction("""COMPUTED_VALUE"""),1970580)</f>
        <v>1970580</v>
      </c>
      <c r="H158" s="84" t="n">
        <f aca="false">IFERROR(__xludf.dummyfunction("""COMPUTED_VALUE"""),338562)</f>
        <v>338562</v>
      </c>
      <c r="I158" s="84" t="n">
        <f aca="false">IFERROR(__xludf.dummyfunction("""COMPUTED_VALUE"""),7615)</f>
        <v>7615</v>
      </c>
      <c r="J158" s="84" t="n">
        <f aca="false">IFERROR(__xludf.dummyfunction("""COMPUTED_VALUE"""),25988)</f>
        <v>25988</v>
      </c>
      <c r="K158" s="84" t="n">
        <f aca="false">IFERROR(__xludf.dummyfunction("""COMPUTED_VALUE"""),16684)</f>
        <v>16684</v>
      </c>
      <c r="L158" s="84" t="n">
        <f aca="false">IFERROR(__xludf.dummyfunction("""COMPUTED_VALUE"""),1961965)</f>
        <v>1961965</v>
      </c>
      <c r="M158" s="84" t="n">
        <f aca="false">IFERROR(__xludf.dummyfunction("""COMPUTED_VALUE"""),300763)</f>
        <v>300763</v>
      </c>
      <c r="N158" s="84" t="n">
        <f aca="false">IFERROR(__xludf.dummyfunction("""COMPUTED_VALUE"""),157150)</f>
        <v>157150</v>
      </c>
      <c r="O158" s="84" t="n">
        <f aca="false">IFERROR(__xludf.dummyfunction("""COMPUTED_VALUE"""),35822)</f>
        <v>35822</v>
      </c>
      <c r="P158" s="84" t="n">
        <f aca="false">IFERROR(__xludf.dummyfunction("""COMPUTED_VALUE"""),739854)</f>
        <v>739854</v>
      </c>
      <c r="Q158" s="84" t="n">
        <f aca="false">IFERROR(__xludf.dummyfunction("""COMPUTED_VALUE"""),171532)</f>
        <v>171532</v>
      </c>
      <c r="R158" s="84" t="n">
        <f aca="false">IFERROR(__xludf.dummyfunction("""COMPUTED_VALUE"""),42419)</f>
        <v>42419</v>
      </c>
      <c r="S158" s="84" t="n">
        <f aca="false">IFERROR(__xludf.dummyfunction("""COMPUTED_VALUE"""),27080)</f>
        <v>27080</v>
      </c>
      <c r="T158" s="84" t="n">
        <f aca="false">IFERROR(__xludf.dummyfunction("""COMPUTED_VALUE"""),50943)</f>
        <v>50943</v>
      </c>
      <c r="U158" s="84" t="n">
        <f aca="false">IFERROR(__xludf.dummyfunction("""COMPUTED_VALUE"""),33855)</f>
        <v>33855</v>
      </c>
      <c r="V158" s="84" t="n">
        <f aca="false">IFERROR(__xludf.dummyfunction("""COMPUTED_VALUE"""),7234)</f>
        <v>7234</v>
      </c>
      <c r="W158" s="84" t="n">
        <f aca="false">IFERROR(__xludf.dummyfunction("""COMPUTED_VALUE"""),227859)</f>
        <v>227859</v>
      </c>
      <c r="X158" s="84" t="n">
        <f aca="false">IFERROR(__xludf.dummyfunction("""COMPUTED_VALUE"""),83374)</f>
        <v>83374</v>
      </c>
      <c r="Y158" s="84" t="n">
        <f aca="false">IFERROR(__xludf.dummyfunction("""COMPUTED_VALUE"""),528339)</f>
        <v>528339</v>
      </c>
      <c r="Z158" s="84" t="n">
        <f aca="false">IFERROR(__xludf.dummyfunction("""COMPUTED_VALUE"""),165684)</f>
        <v>165684</v>
      </c>
      <c r="AA158" s="84" t="n">
        <f aca="false">IFERROR(__xludf.dummyfunction("""COMPUTED_VALUE"""),15762)</f>
        <v>15762</v>
      </c>
      <c r="AB158" s="84" t="n">
        <f aca="false">IFERROR(__xludf.dummyfunction("""COMPUTED_VALUE"""),161473)</f>
        <v>161473</v>
      </c>
      <c r="AC158" s="84" t="n">
        <f aca="false">IFERROR(__xludf.dummyfunction("""COMPUTED_VALUE"""),15263)</f>
        <v>15263</v>
      </c>
      <c r="AD158" s="84" t="n">
        <f aca="false">IFERROR(__xludf.dummyfunction("""COMPUTED_VALUE"""),15006)</f>
        <v>15006</v>
      </c>
      <c r="AE158" s="84" t="n">
        <f aca="false">IFERROR(__xludf.dummyfunction("""COMPUTED_VALUE"""),278794)</f>
        <v>278794</v>
      </c>
      <c r="AF158" s="84" t="n">
        <f aca="false">IFERROR(__xludf.dummyfunction("""COMPUTED_VALUE"""),10891)</f>
        <v>10891</v>
      </c>
      <c r="AG158" s="84" t="n">
        <f aca="false">IFERROR(__xludf.dummyfunction("""COMPUTED_VALUE"""),214428)</f>
        <v>214428</v>
      </c>
      <c r="AH158" s="84" t="n">
        <f aca="false">IFERROR(__xludf.dummyfunction("""COMPUTED_VALUE"""),41615)</f>
        <v>41615</v>
      </c>
      <c r="AI158" s="84" t="n">
        <f aca="false">IFERROR(__xludf.dummyfunction("""COMPUTED_VALUE"""),483756)</f>
        <v>483756</v>
      </c>
      <c r="AJ158" s="84" t="n">
        <f aca="false">IFERROR(__xludf.dummyfunction("""COMPUTED_VALUE"""),299495)</f>
        <v>299495</v>
      </c>
      <c r="AK158" s="84" t="n">
        <f aca="false">IFERROR(__xludf.dummyfunction("""COMPUTED_VALUE"""),10147)</f>
        <v>10147</v>
      </c>
      <c r="AL158" s="84" t="n">
        <f aca="false">IFERROR(__xludf.dummyfunction("""COMPUTED_VALUE"""),418262)</f>
        <v>418262</v>
      </c>
      <c r="AM158" s="84" t="n">
        <f aca="false">IFERROR(__xludf.dummyfunction("""COMPUTED_VALUE"""),73510)</f>
        <v>73510</v>
      </c>
      <c r="AN158" s="84" t="n">
        <f aca="false">IFERROR(__xludf.dummyfunction("""COMPUTED_VALUE"""),120583)</f>
        <v>120583</v>
      </c>
      <c r="AO158" s="84" t="n">
        <f aca="false">IFERROR(__xludf.dummyfunction("""COMPUTED_VALUE"""),233760)</f>
        <v>233760</v>
      </c>
      <c r="AP158" s="84" t="n">
        <f aca="false">IFERROR(__xludf.dummyfunction("""COMPUTED_VALUE"""),5114)</f>
        <v>5114</v>
      </c>
      <c r="AQ158" s="84" t="n">
        <f aca="false">IFERROR(__xludf.dummyfunction("""COMPUTED_VALUE"""),184569)</f>
        <v>184569</v>
      </c>
      <c r="AR158" s="84" t="n">
        <f aca="false">IFERROR(__xludf.dummyfunction("""COMPUTED_VALUE"""),2320)</f>
        <v>2320</v>
      </c>
      <c r="AS158" s="84" t="n">
        <f aca="false">IFERROR(__xludf.dummyfunction("""COMPUTED_VALUE"""),205778)</f>
        <v>205778</v>
      </c>
      <c r="AT158" s="84" t="n">
        <f aca="false">IFERROR(__xludf.dummyfunction("""COMPUTED_VALUE"""),952386)</f>
        <v>952386</v>
      </c>
      <c r="AU158" s="84" t="n">
        <f aca="false">IFERROR(__xludf.dummyfunction("""COMPUTED_VALUE"""),159405)</f>
        <v>159405</v>
      </c>
      <c r="AV158" s="84" t="n">
        <f aca="false">IFERROR(__xludf.dummyfunction("""COMPUTED_VALUE"""),13440)</f>
        <v>13440</v>
      </c>
      <c r="AW158" s="84" t="n">
        <f aca="false">IFERROR(__xludf.dummyfunction("""COMPUTED_VALUE"""),107470)</f>
        <v>107470</v>
      </c>
      <c r="AX158" s="84" t="n">
        <f aca="false">IFERROR(__xludf.dummyfunction("""COMPUTED_VALUE"""),416934)</f>
        <v>416934</v>
      </c>
      <c r="AY158" s="84" t="n">
        <f aca="false">IFERROR(__xludf.dummyfunction("""COMPUTED_VALUE"""),2653)</f>
        <v>2653</v>
      </c>
      <c r="AZ158" s="84" t="n">
        <f aca="false">IFERROR(__xludf.dummyfunction("""COMPUTED_VALUE"""),118932)</f>
        <v>118932</v>
      </c>
      <c r="BA158" s="84" t="n">
        <f aca="false">IFERROR(__xludf.dummyfunction("""COMPUTED_VALUE"""),5240)</f>
        <v>5240</v>
      </c>
    </row>
    <row r="159" customFormat="false" ht="15.75" hidden="false" customHeight="false" outlineLevel="0" collapsed="false">
      <c r="A159" s="78" t="str">
        <f aca="false">IFERROR(__xludf.dummyfunction("""COMPUTED_VALUE"""),"buyer_city")</f>
        <v>buyer_city</v>
      </c>
      <c r="B159" s="72" t="n">
        <f aca="false">IFERROR(__xludf.dummyfunction("""COMPUTED_VALUE"""),69139105)</f>
        <v>69139105</v>
      </c>
      <c r="C159" s="82" t="n">
        <f aca="false">IFERROR(__xludf.dummyfunction("""COMPUTED_VALUE"""),799975)</f>
        <v>799975</v>
      </c>
      <c r="D159" s="83" t="n">
        <f aca="false">IFERROR(__xludf.dummyfunction("""COMPUTED_VALUE"""),143589)</f>
        <v>143589</v>
      </c>
      <c r="E159" s="84" t="n">
        <f aca="false">IFERROR(__xludf.dummyfunction("""COMPUTED_VALUE"""),2147698)</f>
        <v>2147698</v>
      </c>
      <c r="F159" s="84" t="n">
        <f aca="false">IFERROR(__xludf.dummyfunction("""COMPUTED_VALUE"""),594681)</f>
        <v>594681</v>
      </c>
      <c r="G159" s="84" t="n">
        <f aca="false">IFERROR(__xludf.dummyfunction("""COMPUTED_VALUE"""),8895595)</f>
        <v>8895595</v>
      </c>
      <c r="H159" s="84" t="n">
        <f aca="false">IFERROR(__xludf.dummyfunction("""COMPUTED_VALUE"""),1635439)</f>
        <v>1635439</v>
      </c>
      <c r="I159" s="84" t="n">
        <f aca="false">IFERROR(__xludf.dummyfunction("""COMPUTED_VALUE"""),125325)</f>
        <v>125325</v>
      </c>
      <c r="J159" s="84" t="n">
        <f aca="false">IFERROR(__xludf.dummyfunction("""COMPUTED_VALUE"""),223245)</f>
        <v>223245</v>
      </c>
      <c r="K159" s="84" t="n">
        <f aca="false">IFERROR(__xludf.dummyfunction("""COMPUTED_VALUE"""),42373)</f>
        <v>42373</v>
      </c>
      <c r="L159" s="84" t="n">
        <f aca="false">IFERROR(__xludf.dummyfunction("""COMPUTED_VALUE"""),6915357)</f>
        <v>6915357</v>
      </c>
      <c r="M159" s="84" t="n">
        <f aca="false">IFERROR(__xludf.dummyfunction("""COMPUTED_VALUE"""),1984040)</f>
        <v>1984040</v>
      </c>
      <c r="N159" s="84" t="n">
        <f aca="false">IFERROR(__xludf.dummyfunction("""COMPUTED_VALUE"""),381299)</f>
        <v>381299</v>
      </c>
      <c r="O159" s="84" t="n">
        <f aca="false">IFERROR(__xludf.dummyfunction("""COMPUTED_VALUE"""),425239)</f>
        <v>425239</v>
      </c>
      <c r="P159" s="84" t="n">
        <f aca="false">IFERROR(__xludf.dummyfunction("""COMPUTED_VALUE"""),2922825)</f>
        <v>2922825</v>
      </c>
      <c r="Q159" s="84" t="n">
        <f aca="false">IFERROR(__xludf.dummyfunction("""COMPUTED_VALUE"""),1333377)</f>
        <v>1333377</v>
      </c>
      <c r="R159" s="84" t="n">
        <f aca="false">IFERROR(__xludf.dummyfunction("""COMPUTED_VALUE"""),604870)</f>
        <v>604870</v>
      </c>
      <c r="S159" s="84" t="n">
        <f aca="false">IFERROR(__xludf.dummyfunction("""COMPUTED_VALUE"""),287097)</f>
        <v>287097</v>
      </c>
      <c r="T159" s="84" t="n">
        <f aca="false">IFERROR(__xludf.dummyfunction("""COMPUTED_VALUE"""),711354)</f>
        <v>711354</v>
      </c>
      <c r="U159" s="84" t="n">
        <f aca="false">IFERROR(__xludf.dummyfunction("""COMPUTED_VALUE"""),496812)</f>
        <v>496812</v>
      </c>
      <c r="V159" s="84" t="n">
        <f aca="false">IFERROR(__xludf.dummyfunction("""COMPUTED_VALUE"""),57639)</f>
        <v>57639</v>
      </c>
      <c r="W159" s="84" t="n">
        <f aca="false">IFERROR(__xludf.dummyfunction("""COMPUTED_VALUE"""),1511429)</f>
        <v>1511429</v>
      </c>
      <c r="X159" s="84" t="n">
        <f aca="false">IFERROR(__xludf.dummyfunction("""COMPUTED_VALUE"""),480102)</f>
        <v>480102</v>
      </c>
      <c r="Y159" s="84" t="n">
        <f aca="false">IFERROR(__xludf.dummyfunction("""COMPUTED_VALUE"""),2512443)</f>
        <v>2512443</v>
      </c>
      <c r="Z159" s="84" t="n">
        <f aca="false">IFERROR(__xludf.dummyfunction("""COMPUTED_VALUE"""),1234867)</f>
        <v>1234867</v>
      </c>
      <c r="AA159" s="84" t="n">
        <f aca="false">IFERROR(__xludf.dummyfunction("""COMPUTED_VALUE"""),324208)</f>
        <v>324208</v>
      </c>
      <c r="AB159" s="84" t="n">
        <f aca="false">IFERROR(__xludf.dummyfunction("""COMPUTED_VALUE"""),1399305)</f>
        <v>1399305</v>
      </c>
      <c r="AC159" s="84" t="n">
        <f aca="false">IFERROR(__xludf.dummyfunction("""COMPUTED_VALUE"""),174237)</f>
        <v>174237</v>
      </c>
      <c r="AD159" s="84" t="n">
        <f aca="false">IFERROR(__xludf.dummyfunction("""COMPUTED_VALUE"""),142800)</f>
        <v>142800</v>
      </c>
      <c r="AE159" s="84" t="n">
        <f aca="false">IFERROR(__xludf.dummyfunction("""COMPUTED_VALUE"""),906793)</f>
        <v>906793</v>
      </c>
      <c r="AF159" s="84" t="n">
        <f aca="false">IFERROR(__xludf.dummyfunction("""COMPUTED_VALUE"""),76004)</f>
        <v>76004</v>
      </c>
      <c r="AG159" s="84" t="n">
        <f aca="false">IFERROR(__xludf.dummyfunction("""COMPUTED_VALUE"""),1661426)</f>
        <v>1661426</v>
      </c>
      <c r="AH159" s="84" t="n">
        <f aca="false">IFERROR(__xludf.dummyfunction("""COMPUTED_VALUE"""),404881)</f>
        <v>404881</v>
      </c>
      <c r="AI159" s="84" t="n">
        <f aca="false">IFERROR(__xludf.dummyfunction("""COMPUTED_VALUE"""),3168991)</f>
        <v>3168991</v>
      </c>
      <c r="AJ159" s="84" t="n">
        <f aca="false">IFERROR(__xludf.dummyfunction("""COMPUTED_VALUE"""),2403717)</f>
        <v>2403717</v>
      </c>
      <c r="AK159" s="84" t="n">
        <f aca="false">IFERROR(__xludf.dummyfunction("""COMPUTED_VALUE"""),111946)</f>
        <v>111946</v>
      </c>
      <c r="AL159" s="84" t="n">
        <f aca="false">IFERROR(__xludf.dummyfunction("""COMPUTED_VALUE"""),3084988)</f>
        <v>3084988</v>
      </c>
      <c r="AM159" s="84" t="n">
        <f aca="false">IFERROR(__xludf.dummyfunction("""COMPUTED_VALUE"""),825145)</f>
        <v>825145</v>
      </c>
      <c r="AN159" s="84" t="n">
        <f aca="false">IFERROR(__xludf.dummyfunction("""COMPUTED_VALUE"""),1000726)</f>
        <v>1000726</v>
      </c>
      <c r="AO159" s="84" t="n">
        <f aca="false">IFERROR(__xludf.dummyfunction("""COMPUTED_VALUE"""),2655783)</f>
        <v>2655783</v>
      </c>
      <c r="AP159" s="84" t="n">
        <f aca="false">IFERROR(__xludf.dummyfunction("""COMPUTED_VALUE"""),40995)</f>
        <v>40995</v>
      </c>
      <c r="AQ159" s="84" t="n">
        <f aca="false">IFERROR(__xludf.dummyfunction("""COMPUTED_VALUE"""),1360046)</f>
        <v>1360046</v>
      </c>
      <c r="AR159" s="84" t="n">
        <f aca="false">IFERROR(__xludf.dummyfunction("""COMPUTED_VALUE"""),70996)</f>
        <v>70996</v>
      </c>
      <c r="AS159" s="84" t="n">
        <f aca="false">IFERROR(__xludf.dummyfunction("""COMPUTED_VALUE"""),1879340)</f>
        <v>1879340</v>
      </c>
      <c r="AT159" s="84" t="n">
        <f aca="false">IFERROR(__xludf.dummyfunction("""COMPUTED_VALUE"""),5921970)</f>
        <v>5921970</v>
      </c>
      <c r="AU159" s="84" t="n">
        <f aca="false">IFERROR(__xludf.dummyfunction("""COMPUTED_VALUE"""),789392)</f>
        <v>789392</v>
      </c>
      <c r="AV159" s="84" t="n">
        <f aca="false">IFERROR(__xludf.dummyfunction("""COMPUTED_VALUE"""),183125)</f>
        <v>183125</v>
      </c>
      <c r="AW159" s="84" t="n">
        <f aca="false">IFERROR(__xludf.dummyfunction("""COMPUTED_VALUE"""),1049318)</f>
        <v>1049318</v>
      </c>
      <c r="AX159" s="84" t="n">
        <f aca="false">IFERROR(__xludf.dummyfunction("""COMPUTED_VALUE"""),1799352)</f>
        <v>1799352</v>
      </c>
      <c r="AY159" s="84" t="n">
        <f aca="false">IFERROR(__xludf.dummyfunction("""COMPUTED_VALUE"""),96183)</f>
        <v>96183</v>
      </c>
      <c r="AZ159" s="84" t="n">
        <f aca="false">IFERROR(__xludf.dummyfunction("""COMPUTED_VALUE"""),1050278)</f>
        <v>1050278</v>
      </c>
      <c r="BA159" s="84" t="n">
        <f aca="false">IFERROR(__xludf.dummyfunction("""COMPUTED_VALUE"""),90490)</f>
        <v>90490</v>
      </c>
    </row>
    <row r="160" customFormat="false" ht="15.75" hidden="false" customHeight="false" outlineLevel="0" collapsed="false">
      <c r="A160" s="78" t="str">
        <f aca="false">IFERROR(__xludf.dummyfunction("""COMPUTED_VALUE"""),"buyer_state")</f>
        <v>buyer_state</v>
      </c>
      <c r="B160" s="72" t="n">
        <f aca="false">IFERROR(__xludf.dummyfunction("""COMPUTED_VALUE"""),69119200)</f>
        <v>69119200</v>
      </c>
      <c r="C160" s="82" t="n">
        <f aca="false">IFERROR(__xludf.dummyfunction("""COMPUTED_VALUE"""),800138)</f>
        <v>800138</v>
      </c>
      <c r="D160" s="83" t="n">
        <f aca="false">IFERROR(__xludf.dummyfunction("""COMPUTED_VALUE"""),143536)</f>
        <v>143536</v>
      </c>
      <c r="E160" s="84" t="n">
        <f aca="false">IFERROR(__xludf.dummyfunction("""COMPUTED_VALUE"""),2144919)</f>
        <v>2144919</v>
      </c>
      <c r="F160" s="84" t="n">
        <f aca="false">IFERROR(__xludf.dummyfunction("""COMPUTED_VALUE"""),594707)</f>
        <v>594707</v>
      </c>
      <c r="G160" s="84" t="n">
        <f aca="false">IFERROR(__xludf.dummyfunction("""COMPUTED_VALUE"""),8894270)</f>
        <v>8894270</v>
      </c>
      <c r="H160" s="84" t="n">
        <f aca="false">IFERROR(__xludf.dummyfunction("""COMPUTED_VALUE"""),1635265)</f>
        <v>1635265</v>
      </c>
      <c r="I160" s="84" t="n">
        <f aca="false">IFERROR(__xludf.dummyfunction("""COMPUTED_VALUE"""),125280)</f>
        <v>125280</v>
      </c>
      <c r="J160" s="84" t="n">
        <f aca="false">IFERROR(__xludf.dummyfunction("""COMPUTED_VALUE"""),223345)</f>
        <v>223345</v>
      </c>
      <c r="K160" s="84" t="n">
        <f aca="false">IFERROR(__xludf.dummyfunction("""COMPUTED_VALUE"""),42372)</f>
        <v>42372</v>
      </c>
      <c r="L160" s="84" t="n">
        <f aca="false">IFERROR(__xludf.dummyfunction("""COMPUTED_VALUE"""),6895736)</f>
        <v>6895736</v>
      </c>
      <c r="M160" s="84" t="n">
        <f aca="false">IFERROR(__xludf.dummyfunction("""COMPUTED_VALUE"""),1983869)</f>
        <v>1983869</v>
      </c>
      <c r="N160" s="84" t="n">
        <f aca="false">IFERROR(__xludf.dummyfunction("""COMPUTED_VALUE"""),379373)</f>
        <v>379373</v>
      </c>
      <c r="O160" s="84" t="n">
        <f aca="false">IFERROR(__xludf.dummyfunction("""COMPUTED_VALUE"""),425243)</f>
        <v>425243</v>
      </c>
      <c r="P160" s="84" t="n">
        <f aca="false">IFERROR(__xludf.dummyfunction("""COMPUTED_VALUE"""),2922817)</f>
        <v>2922817</v>
      </c>
      <c r="Q160" s="84" t="n">
        <f aca="false">IFERROR(__xludf.dummyfunction("""COMPUTED_VALUE"""),1333459)</f>
        <v>1333459</v>
      </c>
      <c r="R160" s="84" t="n">
        <f aca="false">IFERROR(__xludf.dummyfunction("""COMPUTED_VALUE"""),604853)</f>
        <v>604853</v>
      </c>
      <c r="S160" s="84" t="n">
        <f aca="false">IFERROR(__xludf.dummyfunction("""COMPUTED_VALUE"""),287167)</f>
        <v>287167</v>
      </c>
      <c r="T160" s="84" t="n">
        <f aca="false">IFERROR(__xludf.dummyfunction("""COMPUTED_VALUE"""),711306)</f>
        <v>711306</v>
      </c>
      <c r="U160" s="84" t="n">
        <f aca="false">IFERROR(__xludf.dummyfunction("""COMPUTED_VALUE"""),496807)</f>
        <v>496807</v>
      </c>
      <c r="V160" s="84" t="n">
        <f aca="false">IFERROR(__xludf.dummyfunction("""COMPUTED_VALUE"""),57610)</f>
        <v>57610</v>
      </c>
      <c r="W160" s="84" t="n">
        <f aca="false">IFERROR(__xludf.dummyfunction("""COMPUTED_VALUE"""),1511491)</f>
        <v>1511491</v>
      </c>
      <c r="X160" s="84" t="n">
        <f aca="false">IFERROR(__xludf.dummyfunction("""COMPUTED_VALUE"""),480089)</f>
        <v>480089</v>
      </c>
      <c r="Y160" s="84" t="n">
        <f aca="false">IFERROR(__xludf.dummyfunction("""COMPUTED_VALUE"""),2512286)</f>
        <v>2512286</v>
      </c>
      <c r="Z160" s="84" t="n">
        <f aca="false">IFERROR(__xludf.dummyfunction("""COMPUTED_VALUE"""),1234627)</f>
        <v>1234627</v>
      </c>
      <c r="AA160" s="84" t="n">
        <f aca="false">IFERROR(__xludf.dummyfunction("""COMPUTED_VALUE"""),324216)</f>
        <v>324216</v>
      </c>
      <c r="AB160" s="84" t="n">
        <f aca="false">IFERROR(__xludf.dummyfunction("""COMPUTED_VALUE"""),1399321)</f>
        <v>1399321</v>
      </c>
      <c r="AC160" s="84" t="n">
        <f aca="false">IFERROR(__xludf.dummyfunction("""COMPUTED_VALUE"""),173895)</f>
        <v>173895</v>
      </c>
      <c r="AD160" s="84" t="n">
        <f aca="false">IFERROR(__xludf.dummyfunction("""COMPUTED_VALUE"""),142781)</f>
        <v>142781</v>
      </c>
      <c r="AE160" s="84" t="n">
        <f aca="false">IFERROR(__xludf.dummyfunction("""COMPUTED_VALUE"""),906434)</f>
        <v>906434</v>
      </c>
      <c r="AF160" s="84" t="n">
        <f aca="false">IFERROR(__xludf.dummyfunction("""COMPUTED_VALUE"""),75990)</f>
        <v>75990</v>
      </c>
      <c r="AG160" s="84" t="n">
        <f aca="false">IFERROR(__xludf.dummyfunction("""COMPUTED_VALUE"""),1661201)</f>
        <v>1661201</v>
      </c>
      <c r="AH160" s="84" t="n">
        <f aca="false">IFERROR(__xludf.dummyfunction("""COMPUTED_VALUE"""),404844)</f>
        <v>404844</v>
      </c>
      <c r="AI160" s="84" t="n">
        <f aca="false">IFERROR(__xludf.dummyfunction("""COMPUTED_VALUE"""),3169336)</f>
        <v>3169336</v>
      </c>
      <c r="AJ160" s="84" t="n">
        <f aca="false">IFERROR(__xludf.dummyfunction("""COMPUTED_VALUE"""),2403628)</f>
        <v>2403628</v>
      </c>
      <c r="AK160" s="84" t="n">
        <f aca="false">IFERROR(__xludf.dummyfunction("""COMPUTED_VALUE"""),111896)</f>
        <v>111896</v>
      </c>
      <c r="AL160" s="84" t="n">
        <f aca="false">IFERROR(__xludf.dummyfunction("""COMPUTED_VALUE"""),3085173)</f>
        <v>3085173</v>
      </c>
      <c r="AM160" s="84" t="n">
        <f aca="false">IFERROR(__xludf.dummyfunction("""COMPUTED_VALUE"""),825146)</f>
        <v>825146</v>
      </c>
      <c r="AN160" s="84" t="n">
        <f aca="false">IFERROR(__xludf.dummyfunction("""COMPUTED_VALUE"""),1000624)</f>
        <v>1000624</v>
      </c>
      <c r="AO160" s="84" t="n">
        <f aca="false">IFERROR(__xludf.dummyfunction("""COMPUTED_VALUE"""),2655592)</f>
        <v>2655592</v>
      </c>
      <c r="AP160" s="84" t="n">
        <f aca="false">IFERROR(__xludf.dummyfunction("""COMPUTED_VALUE"""),40956)</f>
        <v>40956</v>
      </c>
      <c r="AQ160" s="84" t="n">
        <f aca="false">IFERROR(__xludf.dummyfunction("""COMPUTED_VALUE"""),1359851)</f>
        <v>1359851</v>
      </c>
      <c r="AR160" s="84" t="n">
        <f aca="false">IFERROR(__xludf.dummyfunction("""COMPUTED_VALUE"""),70994)</f>
        <v>70994</v>
      </c>
      <c r="AS160" s="84" t="n">
        <f aca="false">IFERROR(__xludf.dummyfunction("""COMPUTED_VALUE"""),1889272)</f>
        <v>1889272</v>
      </c>
      <c r="AT160" s="84" t="n">
        <f aca="false">IFERROR(__xludf.dummyfunction("""COMPUTED_VALUE"""),5920887)</f>
        <v>5920887</v>
      </c>
      <c r="AU160" s="84" t="n">
        <f aca="false">IFERROR(__xludf.dummyfunction("""COMPUTED_VALUE"""),789359)</f>
        <v>789359</v>
      </c>
      <c r="AV160" s="84" t="n">
        <f aca="false">IFERROR(__xludf.dummyfunction("""COMPUTED_VALUE"""),183193)</f>
        <v>183193</v>
      </c>
      <c r="AW160" s="84" t="n">
        <f aca="false">IFERROR(__xludf.dummyfunction("""COMPUTED_VALUE"""),1049317)</f>
        <v>1049317</v>
      </c>
      <c r="AX160" s="84" t="n">
        <f aca="false">IFERROR(__xludf.dummyfunction("""COMPUTED_VALUE"""),1798242)</f>
        <v>1798242</v>
      </c>
      <c r="AY160" s="84" t="n">
        <f aca="false">IFERROR(__xludf.dummyfunction("""COMPUTED_VALUE"""),96118)</f>
        <v>96118</v>
      </c>
      <c r="AZ160" s="84" t="n">
        <f aca="false">IFERROR(__xludf.dummyfunction("""COMPUTED_VALUE"""),1049903)</f>
        <v>1049903</v>
      </c>
      <c r="BA160" s="84" t="n">
        <f aca="false">IFERROR(__xludf.dummyfunction("""COMPUTED_VALUE"""),90466)</f>
        <v>90466</v>
      </c>
    </row>
    <row r="161" customFormat="false" ht="15.75" hidden="false" customHeight="false" outlineLevel="0" collapsed="false">
      <c r="A161" s="78" t="str">
        <f aca="false">IFERROR(__xludf.dummyfunction("""COMPUTED_VALUE"""),"buyer_zip_code")</f>
        <v>buyer_zip_code</v>
      </c>
      <c r="B161" s="72" t="n">
        <f aca="false">IFERROR(__xludf.dummyfunction("""COMPUTED_VALUE"""),69303845)</f>
        <v>69303845</v>
      </c>
      <c r="C161" s="82" t="n">
        <f aca="false">IFERROR(__xludf.dummyfunction("""COMPUTED_VALUE"""),802409)</f>
        <v>802409</v>
      </c>
      <c r="D161" s="83" t="n">
        <f aca="false">IFERROR(__xludf.dummyfunction("""COMPUTED_VALUE"""),143510)</f>
        <v>143510</v>
      </c>
      <c r="E161" s="84" t="n">
        <f aca="false">IFERROR(__xludf.dummyfunction("""COMPUTED_VALUE"""),2144950)</f>
        <v>2144950</v>
      </c>
      <c r="F161" s="84" t="n">
        <f aca="false">IFERROR(__xludf.dummyfunction("""COMPUTED_VALUE"""),597944)</f>
        <v>597944</v>
      </c>
      <c r="G161" s="84" t="n">
        <f aca="false">IFERROR(__xludf.dummyfunction("""COMPUTED_VALUE"""),8894408)</f>
        <v>8894408</v>
      </c>
      <c r="H161" s="84" t="n">
        <f aca="false">IFERROR(__xludf.dummyfunction("""COMPUTED_VALUE"""),1635782)</f>
        <v>1635782</v>
      </c>
      <c r="I161" s="84" t="n">
        <f aca="false">IFERROR(__xludf.dummyfunction("""COMPUTED_VALUE"""),120604)</f>
        <v>120604</v>
      </c>
      <c r="J161" s="84" t="n">
        <f aca="false">IFERROR(__xludf.dummyfunction("""COMPUTED_VALUE"""),223043)</f>
        <v>223043</v>
      </c>
      <c r="K161" s="84" t="n">
        <f aca="false">IFERROR(__xludf.dummyfunction("""COMPUTED_VALUE"""),42366)</f>
        <v>42366</v>
      </c>
      <c r="L161" s="84" t="n">
        <f aca="false">IFERROR(__xludf.dummyfunction("""COMPUTED_VALUE"""),6891801)</f>
        <v>6891801</v>
      </c>
      <c r="M161" s="84" t="n">
        <f aca="false">IFERROR(__xludf.dummyfunction("""COMPUTED_VALUE"""),1984052)</f>
        <v>1984052</v>
      </c>
      <c r="N161" s="84" t="n">
        <f aca="false">IFERROR(__xludf.dummyfunction("""COMPUTED_VALUE"""),378335)</f>
        <v>378335</v>
      </c>
      <c r="O161" s="84" t="n">
        <f aca="false">IFERROR(__xludf.dummyfunction("""COMPUTED_VALUE"""),425681)</f>
        <v>425681</v>
      </c>
      <c r="P161" s="84" t="n">
        <f aca="false">IFERROR(__xludf.dummyfunction("""COMPUTED_VALUE"""),2923872)</f>
        <v>2923872</v>
      </c>
      <c r="Q161" s="84" t="n">
        <f aca="false">IFERROR(__xludf.dummyfunction("""COMPUTED_VALUE"""),1353012)</f>
        <v>1353012</v>
      </c>
      <c r="R161" s="84" t="n">
        <f aca="false">IFERROR(__xludf.dummyfunction("""COMPUTED_VALUE"""),605700)</f>
        <v>605700</v>
      </c>
      <c r="S161" s="84" t="n">
        <f aca="false">IFERROR(__xludf.dummyfunction("""COMPUTED_VALUE"""),316336)</f>
        <v>316336</v>
      </c>
      <c r="T161" s="84" t="n">
        <f aca="false">IFERROR(__xludf.dummyfunction("""COMPUTED_VALUE"""),712135)</f>
        <v>712135</v>
      </c>
      <c r="U161" s="84" t="n">
        <f aca="false">IFERROR(__xludf.dummyfunction("""COMPUTED_VALUE"""),501817)</f>
        <v>501817</v>
      </c>
      <c r="V161" s="84" t="n">
        <f aca="false">IFERROR(__xludf.dummyfunction("""COMPUTED_VALUE"""),55279)</f>
        <v>55279</v>
      </c>
      <c r="W161" s="84" t="n">
        <f aca="false">IFERROR(__xludf.dummyfunction("""COMPUTED_VALUE"""),1516864)</f>
        <v>1516864</v>
      </c>
      <c r="X161" s="84" t="n">
        <f aca="false">IFERROR(__xludf.dummyfunction("""COMPUTED_VALUE"""),468388)</f>
        <v>468388</v>
      </c>
      <c r="Y161" s="84" t="n">
        <f aca="false">IFERROR(__xludf.dummyfunction("""COMPUTED_VALUE"""),2511699)</f>
        <v>2511699</v>
      </c>
      <c r="Z161" s="84" t="n">
        <f aca="false">IFERROR(__xludf.dummyfunction("""COMPUTED_VALUE"""),1239274)</f>
        <v>1239274</v>
      </c>
      <c r="AA161" s="84" t="n">
        <f aca="false">IFERROR(__xludf.dummyfunction("""COMPUTED_VALUE"""),324125)</f>
        <v>324125</v>
      </c>
      <c r="AB161" s="84" t="n">
        <f aca="false">IFERROR(__xludf.dummyfunction("""COMPUTED_VALUE"""),1402104)</f>
        <v>1402104</v>
      </c>
      <c r="AC161" s="84" t="n">
        <f aca="false">IFERROR(__xludf.dummyfunction("""COMPUTED_VALUE"""),173857)</f>
        <v>173857</v>
      </c>
      <c r="AD161" s="84" t="n">
        <f aca="false">IFERROR(__xludf.dummyfunction("""COMPUTED_VALUE"""),190014)</f>
        <v>190014</v>
      </c>
      <c r="AE161" s="84" t="n">
        <f aca="false">IFERROR(__xludf.dummyfunction("""COMPUTED_VALUE"""),906715)</f>
        <v>906715</v>
      </c>
      <c r="AF161" s="84" t="n">
        <f aca="false">IFERROR(__xludf.dummyfunction("""COMPUTED_VALUE"""),73008)</f>
        <v>73008</v>
      </c>
      <c r="AG161" s="84" t="n">
        <f aca="false">IFERROR(__xludf.dummyfunction("""COMPUTED_VALUE"""),1648484)</f>
        <v>1648484</v>
      </c>
      <c r="AH161" s="84" t="n">
        <f aca="false">IFERROR(__xludf.dummyfunction("""COMPUTED_VALUE"""),406857)</f>
        <v>406857</v>
      </c>
      <c r="AI161" s="84" t="n">
        <f aca="false">IFERROR(__xludf.dummyfunction("""COMPUTED_VALUE"""),3155027)</f>
        <v>3155027</v>
      </c>
      <c r="AJ161" s="84" t="n">
        <f aca="false">IFERROR(__xludf.dummyfunction("""COMPUTED_VALUE"""),2417403)</f>
        <v>2417403</v>
      </c>
      <c r="AK161" s="84" t="n">
        <f aca="false">IFERROR(__xludf.dummyfunction("""COMPUTED_VALUE"""),112085)</f>
        <v>112085</v>
      </c>
      <c r="AL161" s="84" t="n">
        <f aca="false">IFERROR(__xludf.dummyfunction("""COMPUTED_VALUE"""),3107818)</f>
        <v>3107818</v>
      </c>
      <c r="AM161" s="84" t="n">
        <f aca="false">IFERROR(__xludf.dummyfunction("""COMPUTED_VALUE"""),837462)</f>
        <v>837462</v>
      </c>
      <c r="AN161" s="84" t="n">
        <f aca="false">IFERROR(__xludf.dummyfunction("""COMPUTED_VALUE"""),1001582)</f>
        <v>1001582</v>
      </c>
      <c r="AO161" s="84" t="n">
        <f aca="false">IFERROR(__xludf.dummyfunction("""COMPUTED_VALUE"""),2657098)</f>
        <v>2657098</v>
      </c>
      <c r="AP161" s="84" t="n">
        <f aca="false">IFERROR(__xludf.dummyfunction("""COMPUTED_VALUE"""),39168)</f>
        <v>39168</v>
      </c>
      <c r="AQ161" s="84" t="n">
        <f aca="false">IFERROR(__xludf.dummyfunction("""COMPUTED_VALUE"""),1361840)</f>
        <v>1361840</v>
      </c>
      <c r="AR161" s="84" t="n">
        <f aca="false">IFERROR(__xludf.dummyfunction("""COMPUTED_VALUE"""),70972)</f>
        <v>70972</v>
      </c>
      <c r="AS161" s="84" t="n">
        <f aca="false">IFERROR(__xludf.dummyfunction("""COMPUTED_VALUE"""),1881557)</f>
        <v>1881557</v>
      </c>
      <c r="AT161" s="84" t="n">
        <f aca="false">IFERROR(__xludf.dummyfunction("""COMPUTED_VALUE"""),5929468)</f>
        <v>5929468</v>
      </c>
      <c r="AU161" s="84" t="n">
        <f aca="false">IFERROR(__xludf.dummyfunction("""COMPUTED_VALUE"""),790074)</f>
        <v>790074</v>
      </c>
      <c r="AV161" s="84" t="n">
        <f aca="false">IFERROR(__xludf.dummyfunction("""COMPUTED_VALUE"""),181546)</f>
        <v>181546</v>
      </c>
      <c r="AW161" s="84" t="n">
        <f aca="false">IFERROR(__xludf.dummyfunction("""COMPUTED_VALUE"""),1061184)</f>
        <v>1061184</v>
      </c>
      <c r="AX161" s="84" t="n">
        <f aca="false">IFERROR(__xludf.dummyfunction("""COMPUTED_VALUE"""),1808112)</f>
        <v>1808112</v>
      </c>
      <c r="AY161" s="84" t="n">
        <f aca="false">IFERROR(__xludf.dummyfunction("""COMPUTED_VALUE"""),109591)</f>
        <v>109591</v>
      </c>
      <c r="AZ161" s="84" t="n">
        <f aca="false">IFERROR(__xludf.dummyfunction("""COMPUTED_VALUE"""),1074540)</f>
        <v>1074540</v>
      </c>
      <c r="BA161" s="84" t="n">
        <f aca="false">IFERROR(__xludf.dummyfunction("""COMPUTED_VALUE"""),92893)</f>
        <v>92893</v>
      </c>
    </row>
    <row r="162" customFormat="false" ht="15.75" hidden="false" customHeight="false" outlineLevel="0" collapsed="false">
      <c r="A162" s="78" t="str">
        <f aca="false">IFERROR(__xludf.dummyfunction("""COMPUTED_VALUE"""),"buyer_zip_plus_four_code")</f>
        <v>buyer_zip_plus_four_code</v>
      </c>
      <c r="B162" s="72" t="n">
        <f aca="false">IFERROR(__xludf.dummyfunction("""COMPUTED_VALUE"""),67726766)</f>
        <v>67726766</v>
      </c>
      <c r="C162" s="82" t="n">
        <f aca="false">IFERROR(__xludf.dummyfunction("""COMPUTED_VALUE"""),787718)</f>
        <v>787718</v>
      </c>
      <c r="D162" s="83" t="n">
        <f aca="false">IFERROR(__xludf.dummyfunction("""COMPUTED_VALUE"""),138932)</f>
        <v>138932</v>
      </c>
      <c r="E162" s="84" t="n">
        <f aca="false">IFERROR(__xludf.dummyfunction("""COMPUTED_VALUE"""),2119239)</f>
        <v>2119239</v>
      </c>
      <c r="F162" s="84" t="n">
        <f aca="false">IFERROR(__xludf.dummyfunction("""COMPUTED_VALUE"""),547350)</f>
        <v>547350</v>
      </c>
      <c r="G162" s="84" t="n">
        <f aca="false">IFERROR(__xludf.dummyfunction("""COMPUTED_VALUE"""),8815409)</f>
        <v>8815409</v>
      </c>
      <c r="H162" s="84" t="n">
        <f aca="false">IFERROR(__xludf.dummyfunction("""COMPUTED_VALUE"""),1604266)</f>
        <v>1604266</v>
      </c>
      <c r="I162" s="84" t="n">
        <f aca="false">IFERROR(__xludf.dummyfunction("""COMPUTED_VALUE"""),117159)</f>
        <v>117159</v>
      </c>
      <c r="J162" s="84" t="n">
        <f aca="false">IFERROR(__xludf.dummyfunction("""COMPUTED_VALUE"""),216479)</f>
        <v>216479</v>
      </c>
      <c r="K162" s="84" t="n">
        <f aca="false">IFERROR(__xludf.dummyfunction("""COMPUTED_VALUE"""),36989)</f>
        <v>36989</v>
      </c>
      <c r="L162" s="84" t="n">
        <f aca="false">IFERROR(__xludf.dummyfunction("""COMPUTED_VALUE"""),6779499)</f>
        <v>6779499</v>
      </c>
      <c r="M162" s="84" t="n">
        <f aca="false">IFERROR(__xludf.dummyfunction("""COMPUTED_VALUE"""),1945415)</f>
        <v>1945415</v>
      </c>
      <c r="N162" s="84" t="n">
        <f aca="false">IFERROR(__xludf.dummyfunction("""COMPUTED_VALUE"""),372156)</f>
        <v>372156</v>
      </c>
      <c r="O162" s="84" t="n">
        <f aca="false">IFERROR(__xludf.dummyfunction("""COMPUTED_VALUE"""),414720)</f>
        <v>414720</v>
      </c>
      <c r="P162" s="84" t="n">
        <f aca="false">IFERROR(__xludf.dummyfunction("""COMPUTED_VALUE"""),2880237)</f>
        <v>2880237</v>
      </c>
      <c r="Q162" s="84" t="n">
        <f aca="false">IFERROR(__xludf.dummyfunction("""COMPUTED_VALUE"""),1333840)</f>
        <v>1333840</v>
      </c>
      <c r="R162" s="84" t="n">
        <f aca="false">IFERROR(__xludf.dummyfunction("""COMPUTED_VALUE"""),594059)</f>
        <v>594059</v>
      </c>
      <c r="S162" s="84" t="n">
        <f aca="false">IFERROR(__xludf.dummyfunction("""COMPUTED_VALUE"""),321136)</f>
        <v>321136</v>
      </c>
      <c r="T162" s="84" t="n">
        <f aca="false">IFERROR(__xludf.dummyfunction("""COMPUTED_VALUE"""),680565)</f>
        <v>680565</v>
      </c>
      <c r="U162" s="84" t="n">
        <f aca="false">IFERROR(__xludf.dummyfunction("""COMPUTED_VALUE"""),480305)</f>
        <v>480305</v>
      </c>
      <c r="V162" s="84" t="n">
        <f aca="false">IFERROR(__xludf.dummyfunction("""COMPUTED_VALUE"""),53259)</f>
        <v>53259</v>
      </c>
      <c r="W162" s="84" t="n">
        <f aca="false">IFERROR(__xludf.dummyfunction("""COMPUTED_VALUE"""),1498097)</f>
        <v>1498097</v>
      </c>
      <c r="X162" s="84" t="n">
        <f aca="false">IFERROR(__xludf.dummyfunction("""COMPUTED_VALUE"""),450228)</f>
        <v>450228</v>
      </c>
      <c r="Y162" s="84" t="n">
        <f aca="false">IFERROR(__xludf.dummyfunction("""COMPUTED_VALUE"""),2459671)</f>
        <v>2459671</v>
      </c>
      <c r="Z162" s="84" t="n">
        <f aca="false">IFERROR(__xludf.dummyfunction("""COMPUTED_VALUE"""),1208270)</f>
        <v>1208270</v>
      </c>
      <c r="AA162" s="84" t="n">
        <f aca="false">IFERROR(__xludf.dummyfunction("""COMPUTED_VALUE"""),300520)</f>
        <v>300520</v>
      </c>
      <c r="AB162" s="84" t="n">
        <f aca="false">IFERROR(__xludf.dummyfunction("""COMPUTED_VALUE"""),1368983)</f>
        <v>1368983</v>
      </c>
      <c r="AC162" s="84" t="n">
        <f aca="false">IFERROR(__xludf.dummyfunction("""COMPUTED_VALUE"""),165995)</f>
        <v>165995</v>
      </c>
      <c r="AD162" s="84" t="n">
        <f aca="false">IFERROR(__xludf.dummyfunction("""COMPUTED_VALUE"""),233841)</f>
        <v>233841</v>
      </c>
      <c r="AE162" s="84" t="n">
        <f aca="false">IFERROR(__xludf.dummyfunction("""COMPUTED_VALUE"""),897894)</f>
        <v>897894</v>
      </c>
      <c r="AF162" s="84" t="n">
        <f aca="false">IFERROR(__xludf.dummyfunction("""COMPUTED_VALUE"""),70839)</f>
        <v>70839</v>
      </c>
      <c r="AG162" s="84" t="n">
        <f aca="false">IFERROR(__xludf.dummyfunction("""COMPUTED_VALUE"""),1613123)</f>
        <v>1613123</v>
      </c>
      <c r="AH162" s="84" t="n">
        <f aca="false">IFERROR(__xludf.dummyfunction("""COMPUTED_VALUE"""),394002)</f>
        <v>394002</v>
      </c>
      <c r="AI162" s="84" t="n">
        <f aca="false">IFERROR(__xludf.dummyfunction("""COMPUTED_VALUE"""),3018934)</f>
        <v>3018934</v>
      </c>
      <c r="AJ162" s="84" t="n">
        <f aca="false">IFERROR(__xludf.dummyfunction("""COMPUTED_VALUE"""),2347526)</f>
        <v>2347526</v>
      </c>
      <c r="AK162" s="84" t="n">
        <f aca="false">IFERROR(__xludf.dummyfunction("""COMPUTED_VALUE"""),108811)</f>
        <v>108811</v>
      </c>
      <c r="AL162" s="84" t="n">
        <f aca="false">IFERROR(__xludf.dummyfunction("""COMPUTED_VALUE"""),3034171)</f>
        <v>3034171</v>
      </c>
      <c r="AM162" s="84" t="n">
        <f aca="false">IFERROR(__xludf.dummyfunction("""COMPUTED_VALUE"""),830919)</f>
        <v>830919</v>
      </c>
      <c r="AN162" s="84" t="n">
        <f aca="false">IFERROR(__xludf.dummyfunction("""COMPUTED_VALUE"""),985863)</f>
        <v>985863</v>
      </c>
      <c r="AO162" s="84" t="n">
        <f aca="false">IFERROR(__xludf.dummyfunction("""COMPUTED_VALUE"""),2560998)</f>
        <v>2560998</v>
      </c>
      <c r="AP162" s="84" t="n">
        <f aca="false">IFERROR(__xludf.dummyfunction("""COMPUTED_VALUE"""),38170)</f>
        <v>38170</v>
      </c>
      <c r="AQ162" s="84" t="n">
        <f aca="false">IFERROR(__xludf.dummyfunction("""COMPUTED_VALUE"""),1309812)</f>
        <v>1309812</v>
      </c>
      <c r="AR162" s="84" t="n">
        <f aca="false">IFERROR(__xludf.dummyfunction("""COMPUTED_VALUE"""),67430)</f>
        <v>67430</v>
      </c>
      <c r="AS162" s="84" t="n">
        <f aca="false">IFERROR(__xludf.dummyfunction("""COMPUTED_VALUE"""),1798413)</f>
        <v>1798413</v>
      </c>
      <c r="AT162" s="84" t="n">
        <f aca="false">IFERROR(__xludf.dummyfunction("""COMPUTED_VALUE"""),5754021)</f>
        <v>5754021</v>
      </c>
      <c r="AU162" s="84" t="n">
        <f aca="false">IFERROR(__xludf.dummyfunction("""COMPUTED_VALUE"""),776587)</f>
        <v>776587</v>
      </c>
      <c r="AV162" s="84" t="n">
        <f aca="false">IFERROR(__xludf.dummyfunction("""COMPUTED_VALUE"""),170474)</f>
        <v>170474</v>
      </c>
      <c r="AW162" s="84" t="n">
        <f aca="false">IFERROR(__xludf.dummyfunction("""COMPUTED_VALUE"""),1023737)</f>
        <v>1023737</v>
      </c>
      <c r="AX162" s="84" t="n">
        <f aca="false">IFERROR(__xludf.dummyfunction("""COMPUTED_VALUE"""),1766781)</f>
        <v>1766781</v>
      </c>
      <c r="AY162" s="84" t="n">
        <f aca="false">IFERROR(__xludf.dummyfunction("""COMPUTED_VALUE"""),108469)</f>
        <v>108469</v>
      </c>
      <c r="AZ162" s="84" t="n">
        <f aca="false">IFERROR(__xludf.dummyfunction("""COMPUTED_VALUE"""),1036339)</f>
        <v>1036339</v>
      </c>
      <c r="BA162" s="84" t="n">
        <f aca="false">IFERROR(__xludf.dummyfunction("""COMPUTED_VALUE"""),89116)</f>
        <v>89116</v>
      </c>
    </row>
    <row r="163" customFormat="false" ht="15.75" hidden="false" customHeight="false" outlineLevel="0" collapsed="false">
      <c r="A163" s="78" t="str">
        <f aca="false">IFERROR(__xludf.dummyfunction("""COMPUTED_VALUE"""),"lender_name")</f>
        <v>lender_name</v>
      </c>
      <c r="B163" s="72" t="n">
        <f aca="false">IFERROR(__xludf.dummyfunction("""COMPUTED_VALUE"""),51991408)</f>
        <v>51991408</v>
      </c>
      <c r="C163" s="82" t="n">
        <f aca="false">IFERROR(__xludf.dummyfunction("""COMPUTED_VALUE"""),440642)</f>
        <v>440642</v>
      </c>
      <c r="D163" s="83" t="n">
        <f aca="false">IFERROR(__xludf.dummyfunction("""COMPUTED_VALUE"""),132552)</f>
        <v>132552</v>
      </c>
      <c r="E163" s="84" t="n">
        <f aca="false">IFERROR(__xludf.dummyfunction("""COMPUTED_VALUE"""),1777336)</f>
        <v>1777336</v>
      </c>
      <c r="F163" s="84" t="n">
        <f aca="false">IFERROR(__xludf.dummyfunction("""COMPUTED_VALUE"""),309035)</f>
        <v>309035</v>
      </c>
      <c r="G163" s="84" t="n">
        <f aca="false">IFERROR(__xludf.dummyfunction("""COMPUTED_VALUE"""),7391127)</f>
        <v>7391127</v>
      </c>
      <c r="H163" s="84" t="n">
        <f aca="false">IFERROR(__xludf.dummyfunction("""COMPUTED_VALUE"""),1425479)</f>
        <v>1425479</v>
      </c>
      <c r="I163" s="84" t="n">
        <f aca="false">IFERROR(__xludf.dummyfunction("""COMPUTED_VALUE"""),782386)</f>
        <v>782386</v>
      </c>
      <c r="J163" s="84" t="n">
        <f aca="false">IFERROR(__xludf.dummyfunction("""COMPUTED_VALUE"""),125123)</f>
        <v>125123</v>
      </c>
      <c r="K163" s="84" t="n">
        <f aca="false">IFERROR(__xludf.dummyfunction("""COMPUTED_VALUE"""),110829)</f>
        <v>110829</v>
      </c>
      <c r="L163" s="84" t="n">
        <f aca="false">IFERROR(__xludf.dummyfunction("""COMPUTED_VALUE"""),5182905)</f>
        <v>5182905</v>
      </c>
      <c r="M163" s="84" t="n">
        <f aca="false">IFERROR(__xludf.dummyfunction("""COMPUTED_VALUE"""),1333438)</f>
        <v>1333438</v>
      </c>
      <c r="N163" s="84" t="n">
        <f aca="false">IFERROR(__xludf.dummyfunction("""COMPUTED_VALUE"""),386251)</f>
        <v>386251</v>
      </c>
      <c r="O163" s="84" t="n">
        <f aca="false">IFERROR(__xludf.dummyfunction("""COMPUTED_VALUE"""),351266)</f>
        <v>351266</v>
      </c>
      <c r="P163" s="84" t="n">
        <f aca="false">IFERROR(__xludf.dummyfunction("""COMPUTED_VALUE"""),2262656)</f>
        <v>2262656</v>
      </c>
      <c r="Q163" s="84" t="n">
        <f aca="false">IFERROR(__xludf.dummyfunction("""COMPUTED_VALUE"""),739750)</f>
        <v>739750</v>
      </c>
      <c r="R163" s="84" t="n">
        <f aca="false">IFERROR(__xludf.dummyfunction("""COMPUTED_VALUE"""),376364)</f>
        <v>376364</v>
      </c>
      <c r="S163" s="84" t="n">
        <f aca="false">IFERROR(__xludf.dummyfunction("""COMPUTED_VALUE"""),288327)</f>
        <v>288327</v>
      </c>
      <c r="T163" s="84" t="n">
        <f aca="false">IFERROR(__xludf.dummyfunction("""COMPUTED_VALUE"""),343135)</f>
        <v>343135</v>
      </c>
      <c r="U163" s="84" t="n">
        <f aca="false">IFERROR(__xludf.dummyfunction("""COMPUTED_VALUE"""),314068)</f>
        <v>314068</v>
      </c>
      <c r="V163" s="84" t="n">
        <f aca="false">IFERROR(__xludf.dummyfunction("""COMPUTED_VALUE"""),160763)</f>
        <v>160763</v>
      </c>
      <c r="W163" s="84" t="n">
        <f aca="false">IFERROR(__xludf.dummyfunction("""COMPUTED_VALUE"""),671734)</f>
        <v>671734</v>
      </c>
      <c r="X163" s="84" t="n">
        <f aca="false">IFERROR(__xludf.dummyfunction("""COMPUTED_VALUE"""),1483623)</f>
        <v>1483623</v>
      </c>
      <c r="Y163" s="84" t="n">
        <f aca="false">IFERROR(__xludf.dummyfunction("""COMPUTED_VALUE"""),1105398)</f>
        <v>1105398</v>
      </c>
      <c r="Z163" s="84" t="n">
        <f aca="false">IFERROR(__xludf.dummyfunction("""COMPUTED_VALUE"""),577726)</f>
        <v>577726</v>
      </c>
      <c r="AA163" s="84" t="n">
        <f aca="false">IFERROR(__xludf.dummyfunction("""COMPUTED_VALUE"""),52232)</f>
        <v>52232</v>
      </c>
      <c r="AB163" s="84" t="n">
        <f aca="false">IFERROR(__xludf.dummyfunction("""COMPUTED_VALUE"""),931845)</f>
        <v>931845</v>
      </c>
      <c r="AC163" s="84" t="n">
        <f aca="false">IFERROR(__xludf.dummyfunction("""COMPUTED_VALUE"""),118668)</f>
        <v>118668</v>
      </c>
      <c r="AD163" s="84" t="n">
        <f aca="false">IFERROR(__xludf.dummyfunction("""COMPUTED_VALUE"""),235271)</f>
        <v>235271</v>
      </c>
      <c r="AE163" s="84" t="n">
        <f aca="false">IFERROR(__xludf.dummyfunction("""COMPUTED_VALUE"""),779933)</f>
        <v>779933</v>
      </c>
      <c r="AF163" s="84" t="n">
        <f aca="false">IFERROR(__xludf.dummyfunction("""COMPUTED_VALUE"""),263687)</f>
        <v>263687</v>
      </c>
      <c r="AG163" s="84" t="n">
        <f aca="false">IFERROR(__xludf.dummyfunction("""COMPUTED_VALUE"""),1619759)</f>
        <v>1619759</v>
      </c>
      <c r="AH163" s="84" t="n">
        <f aca="false">IFERROR(__xludf.dummyfunction("""COMPUTED_VALUE"""),296201)</f>
        <v>296201</v>
      </c>
      <c r="AI163" s="84" t="n">
        <f aca="false">IFERROR(__xludf.dummyfunction("""COMPUTED_VALUE"""),1082293)</f>
        <v>1082293</v>
      </c>
      <c r="AJ163" s="84" t="n">
        <f aca="false">IFERROR(__xludf.dummyfunction("""COMPUTED_VALUE"""),1692558)</f>
        <v>1692558</v>
      </c>
      <c r="AK163" s="84" t="n">
        <f aca="false">IFERROR(__xludf.dummyfunction("""COMPUTED_VALUE"""),84334)</f>
        <v>84334</v>
      </c>
      <c r="AL163" s="84" t="n">
        <f aca="false">IFERROR(__xludf.dummyfunction("""COMPUTED_VALUE"""),2161328)</f>
        <v>2161328</v>
      </c>
      <c r="AM163" s="84" t="n">
        <f aca="false">IFERROR(__xludf.dummyfunction("""COMPUTED_VALUE"""),516304)</f>
        <v>516304</v>
      </c>
      <c r="AN163" s="84" t="n">
        <f aca="false">IFERROR(__xludf.dummyfunction("""COMPUTED_VALUE"""),890147)</f>
        <v>890147</v>
      </c>
      <c r="AO163" s="84" t="n">
        <f aca="false">IFERROR(__xludf.dummyfunction("""COMPUTED_VALUE"""),1768597)</f>
        <v>1768597</v>
      </c>
      <c r="AP163" s="84" t="n">
        <f aca="false">IFERROR(__xludf.dummyfunction("""COMPUTED_VALUE"""),220392)</f>
        <v>220392</v>
      </c>
      <c r="AQ163" s="84" t="n">
        <f aca="false">IFERROR(__xludf.dummyfunction("""COMPUTED_VALUE"""),578052)</f>
        <v>578052</v>
      </c>
      <c r="AR163" s="84" t="n">
        <f aca="false">IFERROR(__xludf.dummyfunction("""COMPUTED_VALUE"""),14088)</f>
        <v>14088</v>
      </c>
      <c r="AS163" s="84" t="n">
        <f aca="false">IFERROR(__xludf.dummyfunction("""COMPUTED_VALUE"""),950114)</f>
        <v>950114</v>
      </c>
      <c r="AT163" s="84" t="n">
        <f aca="false">IFERROR(__xludf.dummyfunction("""COMPUTED_VALUE"""),5034101)</f>
        <v>5034101</v>
      </c>
      <c r="AU163" s="84" t="n">
        <f aca="false">IFERROR(__xludf.dummyfunction("""COMPUTED_VALUE"""),697914)</f>
        <v>697914</v>
      </c>
      <c r="AV163" s="84" t="n">
        <f aca="false">IFERROR(__xludf.dummyfunction("""COMPUTED_VALUE"""),0)</f>
        <v>0</v>
      </c>
      <c r="AW163" s="84" t="n">
        <f aca="false">IFERROR(__xludf.dummyfunction("""COMPUTED_VALUE"""),1508032)</f>
        <v>1508032</v>
      </c>
      <c r="AX163" s="84" t="n">
        <f aca="false">IFERROR(__xludf.dummyfunction("""COMPUTED_VALUE"""),1595801)</f>
        <v>1595801</v>
      </c>
      <c r="AY163" s="84" t="n">
        <f aca="false">IFERROR(__xludf.dummyfunction("""COMPUTED_VALUE"""),69798)</f>
        <v>69798</v>
      </c>
      <c r="AZ163" s="84" t="n">
        <f aca="false">IFERROR(__xludf.dummyfunction("""COMPUTED_VALUE"""),692558)</f>
        <v>692558</v>
      </c>
      <c r="BA163" s="84" t="n">
        <f aca="false">IFERROR(__xludf.dummyfunction("""COMPUTED_VALUE"""),65488)</f>
        <v>65488</v>
      </c>
    </row>
    <row r="164" customFormat="false" ht="15.75" hidden="false" customHeight="false" outlineLevel="0" collapsed="false">
      <c r="A164" s="78" t="str">
        <f aca="false">IFERROR(__xludf.dummyfunction("""COMPUTED_VALUE"""),"lender_type")</f>
        <v>lender_type</v>
      </c>
      <c r="B164" s="72" t="n">
        <f aca="false">IFERROR(__xludf.dummyfunction("""COMPUTED_VALUE"""),45027562)</f>
        <v>45027562</v>
      </c>
      <c r="C164" s="82" t="n">
        <f aca="false">IFERROR(__xludf.dummyfunction("""COMPUTED_VALUE"""),396677)</f>
        <v>396677</v>
      </c>
      <c r="D164" s="83" t="n">
        <f aca="false">IFERROR(__xludf.dummyfunction("""COMPUTED_VALUE"""),116717)</f>
        <v>116717</v>
      </c>
      <c r="E164" s="84" t="n">
        <f aca="false">IFERROR(__xludf.dummyfunction("""COMPUTED_VALUE"""),1762612)</f>
        <v>1762612</v>
      </c>
      <c r="F164" s="84" t="n">
        <f aca="false">IFERROR(__xludf.dummyfunction("""COMPUTED_VALUE"""),284474)</f>
        <v>284474</v>
      </c>
      <c r="G164" s="84" t="n">
        <f aca="false">IFERROR(__xludf.dummyfunction("""COMPUTED_VALUE"""),7281173)</f>
        <v>7281173</v>
      </c>
      <c r="H164" s="84" t="n">
        <f aca="false">IFERROR(__xludf.dummyfunction("""COMPUTED_VALUE"""),1365109)</f>
        <v>1365109</v>
      </c>
      <c r="I164" s="84" t="n">
        <f aca="false">IFERROR(__xludf.dummyfunction("""COMPUTED_VALUE"""),473708)</f>
        <v>473708</v>
      </c>
      <c r="J164" s="84" t="n">
        <f aca="false">IFERROR(__xludf.dummyfunction("""COMPUTED_VALUE"""),132788)</f>
        <v>132788</v>
      </c>
      <c r="K164" s="84" t="n">
        <f aca="false">IFERROR(__xludf.dummyfunction("""COMPUTED_VALUE"""),46895)</f>
        <v>46895</v>
      </c>
      <c r="L164" s="84" t="n">
        <f aca="false">IFERROR(__xludf.dummyfunction("""COMPUTED_VALUE"""),5044768)</f>
        <v>5044768</v>
      </c>
      <c r="M164" s="84" t="n">
        <f aca="false">IFERROR(__xludf.dummyfunction("""COMPUTED_VALUE"""),445330)</f>
        <v>445330</v>
      </c>
      <c r="N164" s="84" t="n">
        <f aca="false">IFERROR(__xludf.dummyfunction("""COMPUTED_VALUE"""),249305)</f>
        <v>249305</v>
      </c>
      <c r="O164" s="84" t="n">
        <f aca="false">IFERROR(__xludf.dummyfunction("""COMPUTED_VALUE"""),331199)</f>
        <v>331199</v>
      </c>
      <c r="P164" s="84" t="n">
        <f aca="false">IFERROR(__xludf.dummyfunction("""COMPUTED_VALUE"""),2052648)</f>
        <v>2052648</v>
      </c>
      <c r="Q164" s="84" t="n">
        <f aca="false">IFERROR(__xludf.dummyfunction("""COMPUTED_VALUE"""),681822)</f>
        <v>681822</v>
      </c>
      <c r="R164" s="84" t="n">
        <f aca="false">IFERROR(__xludf.dummyfunction("""COMPUTED_VALUE"""),379315)</f>
        <v>379315</v>
      </c>
      <c r="S164" s="84" t="n">
        <f aca="false">IFERROR(__xludf.dummyfunction("""COMPUTED_VALUE"""),268304)</f>
        <v>268304</v>
      </c>
      <c r="T164" s="84" t="n">
        <f aca="false">IFERROR(__xludf.dummyfunction("""COMPUTED_VALUE"""),308721)</f>
        <v>308721</v>
      </c>
      <c r="U164" s="84" t="n">
        <f aca="false">IFERROR(__xludf.dummyfunction("""COMPUTED_VALUE"""),193042)</f>
        <v>193042</v>
      </c>
      <c r="V164" s="84" t="n">
        <f aca="false">IFERROR(__xludf.dummyfunction("""COMPUTED_VALUE"""),64701)</f>
        <v>64701</v>
      </c>
      <c r="W164" s="84" t="n">
        <f aca="false">IFERROR(__xludf.dummyfunction("""COMPUTED_VALUE"""),452424)</f>
        <v>452424</v>
      </c>
      <c r="X164" s="84" t="n">
        <f aca="false">IFERROR(__xludf.dummyfunction("""COMPUTED_VALUE"""),694595)</f>
        <v>694595</v>
      </c>
      <c r="Y164" s="84" t="n">
        <f aca="false">IFERROR(__xludf.dummyfunction("""COMPUTED_VALUE"""),988878)</f>
        <v>988878</v>
      </c>
      <c r="Z164" s="84" t="n">
        <f aca="false">IFERROR(__xludf.dummyfunction("""COMPUTED_VALUE"""),543688)</f>
        <v>543688</v>
      </c>
      <c r="AA164" s="84" t="n">
        <f aca="false">IFERROR(__xludf.dummyfunction("""COMPUTED_VALUE"""),58913)</f>
        <v>58913</v>
      </c>
      <c r="AB164" s="84" t="n">
        <f aca="false">IFERROR(__xludf.dummyfunction("""COMPUTED_VALUE"""),882466)</f>
        <v>882466</v>
      </c>
      <c r="AC164" s="84" t="n">
        <f aca="false">IFERROR(__xludf.dummyfunction("""COMPUTED_VALUE"""),115436)</f>
        <v>115436</v>
      </c>
      <c r="AD164" s="84" t="n">
        <f aca="false">IFERROR(__xludf.dummyfunction("""COMPUTED_VALUE"""),229324)</f>
        <v>229324</v>
      </c>
      <c r="AE164" s="84" t="n">
        <f aca="false">IFERROR(__xludf.dummyfunction("""COMPUTED_VALUE"""),774265)</f>
        <v>774265</v>
      </c>
      <c r="AF164" s="84" t="n">
        <f aca="false">IFERROR(__xludf.dummyfunction("""COMPUTED_VALUE"""),145774)</f>
        <v>145774</v>
      </c>
      <c r="AG164" s="84" t="n">
        <f aca="false">IFERROR(__xludf.dummyfunction("""COMPUTED_VALUE"""),937954)</f>
        <v>937954</v>
      </c>
      <c r="AH164" s="84" t="n">
        <f aca="false">IFERROR(__xludf.dummyfunction("""COMPUTED_VALUE"""),278669)</f>
        <v>278669</v>
      </c>
      <c r="AI164" s="84" t="n">
        <f aca="false">IFERROR(__xludf.dummyfunction("""COMPUTED_VALUE"""),924213)</f>
        <v>924213</v>
      </c>
      <c r="AJ164" s="84" t="n">
        <f aca="false">IFERROR(__xludf.dummyfunction("""COMPUTED_VALUE"""),1569218)</f>
        <v>1569218</v>
      </c>
      <c r="AK164" s="84" t="n">
        <f aca="false">IFERROR(__xludf.dummyfunction("""COMPUTED_VALUE"""),76937)</f>
        <v>76937</v>
      </c>
      <c r="AL164" s="84" t="n">
        <f aca="false">IFERROR(__xludf.dummyfunction("""COMPUTED_VALUE"""),1840874)</f>
        <v>1840874</v>
      </c>
      <c r="AM164" s="84" t="n">
        <f aca="false">IFERROR(__xludf.dummyfunction("""COMPUTED_VALUE"""),465012)</f>
        <v>465012</v>
      </c>
      <c r="AN164" s="84" t="n">
        <f aca="false">IFERROR(__xludf.dummyfunction("""COMPUTED_VALUE"""),798531)</f>
        <v>798531</v>
      </c>
      <c r="AO164" s="84" t="n">
        <f aca="false">IFERROR(__xludf.dummyfunction("""COMPUTED_VALUE"""),1461013)</f>
        <v>1461013</v>
      </c>
      <c r="AP164" s="84" t="n">
        <f aca="false">IFERROR(__xludf.dummyfunction("""COMPUTED_VALUE"""),108357)</f>
        <v>108357</v>
      </c>
      <c r="AQ164" s="84" t="n">
        <f aca="false">IFERROR(__xludf.dummyfunction("""COMPUTED_VALUE"""),518180)</f>
        <v>518180</v>
      </c>
      <c r="AR164" s="84" t="n">
        <f aca="false">IFERROR(__xludf.dummyfunction("""COMPUTED_VALUE"""),14819)</f>
        <v>14819</v>
      </c>
      <c r="AS164" s="84" t="n">
        <f aca="false">IFERROR(__xludf.dummyfunction("""COMPUTED_VALUE"""),800704)</f>
        <v>800704</v>
      </c>
      <c r="AT164" s="84" t="n">
        <f aca="false">IFERROR(__xludf.dummyfunction("""COMPUTED_VALUE"""),4842578)</f>
        <v>4842578</v>
      </c>
      <c r="AU164" s="84" t="n">
        <f aca="false">IFERROR(__xludf.dummyfunction("""COMPUTED_VALUE"""),616151)</f>
        <v>616151</v>
      </c>
      <c r="AV164" s="84" t="n">
        <f aca="false">IFERROR(__xludf.dummyfunction("""COMPUTED_VALUE"""),40678)</f>
        <v>40678</v>
      </c>
      <c r="AW164" s="84" t="n">
        <f aca="false">IFERROR(__xludf.dummyfunction("""COMPUTED_VALUE"""),715864)</f>
        <v>715864</v>
      </c>
      <c r="AX164" s="84" t="n">
        <f aca="false">IFERROR(__xludf.dummyfunction("""COMPUTED_VALUE"""),1540599)</f>
        <v>1540599</v>
      </c>
      <c r="AY164" s="84" t="n">
        <f aca="false">IFERROR(__xludf.dummyfunction("""COMPUTED_VALUE"""),40270)</f>
        <v>40270</v>
      </c>
      <c r="AZ164" s="84" t="n">
        <f aca="false">IFERROR(__xludf.dummyfunction("""COMPUTED_VALUE"""),611992)</f>
        <v>611992</v>
      </c>
      <c r="BA164" s="84" t="n">
        <f aca="false">IFERROR(__xludf.dummyfunction("""COMPUTED_VALUE"""),59878)</f>
        <v>59878</v>
      </c>
    </row>
    <row r="165" customFormat="false" ht="15.75" hidden="false" customHeight="false" outlineLevel="0" collapsed="false">
      <c r="A165" s="78" t="str">
        <f aca="false">IFERROR(__xludf.dummyfunction("""COMPUTED_VALUE"""),"loan_amount")</f>
        <v>loan_amount</v>
      </c>
      <c r="B165" s="72" t="n">
        <f aca="false">IFERROR(__xludf.dummyfunction("""COMPUTED_VALUE"""),51925871)</f>
        <v>51925871</v>
      </c>
      <c r="C165" s="82" t="n">
        <f aca="false">IFERROR(__xludf.dummyfunction("""COMPUTED_VALUE"""),440287)</f>
        <v>440287</v>
      </c>
      <c r="D165" s="83" t="n">
        <f aca="false">IFERROR(__xludf.dummyfunction("""COMPUTED_VALUE"""),132417)</f>
        <v>132417</v>
      </c>
      <c r="E165" s="84" t="n">
        <f aca="false">IFERROR(__xludf.dummyfunction("""COMPUTED_VALUE"""),1775086)</f>
        <v>1775086</v>
      </c>
      <c r="F165" s="84" t="n">
        <f aca="false">IFERROR(__xludf.dummyfunction("""COMPUTED_VALUE"""),307721)</f>
        <v>307721</v>
      </c>
      <c r="G165" s="84" t="n">
        <f aca="false">IFERROR(__xludf.dummyfunction("""COMPUTED_VALUE"""),7387834)</f>
        <v>7387834</v>
      </c>
      <c r="H165" s="84" t="n">
        <f aca="false">IFERROR(__xludf.dummyfunction("""COMPUTED_VALUE"""),1424833)</f>
        <v>1424833</v>
      </c>
      <c r="I165" s="84" t="n">
        <f aca="false">IFERROR(__xludf.dummyfunction("""COMPUTED_VALUE"""),782405)</f>
        <v>782405</v>
      </c>
      <c r="J165" s="84" t="n">
        <f aca="false">IFERROR(__xludf.dummyfunction("""COMPUTED_VALUE"""),126117)</f>
        <v>126117</v>
      </c>
      <c r="K165" s="84" t="n">
        <f aca="false">IFERROR(__xludf.dummyfunction("""COMPUTED_VALUE"""),110810)</f>
        <v>110810</v>
      </c>
      <c r="L165" s="84" t="n">
        <f aca="false">IFERROR(__xludf.dummyfunction("""COMPUTED_VALUE"""),5172741)</f>
        <v>5172741</v>
      </c>
      <c r="M165" s="84" t="n">
        <f aca="false">IFERROR(__xludf.dummyfunction("""COMPUTED_VALUE"""),1283025)</f>
        <v>1283025</v>
      </c>
      <c r="N165" s="84" t="n">
        <f aca="false">IFERROR(__xludf.dummyfunction("""COMPUTED_VALUE"""),386032)</f>
        <v>386032</v>
      </c>
      <c r="O165" s="84" t="n">
        <f aca="false">IFERROR(__xludf.dummyfunction("""COMPUTED_VALUE"""),350662)</f>
        <v>350662</v>
      </c>
      <c r="P165" s="84" t="n">
        <f aca="false">IFERROR(__xludf.dummyfunction("""COMPUTED_VALUE"""),2262532)</f>
        <v>2262532</v>
      </c>
      <c r="Q165" s="84" t="n">
        <f aca="false">IFERROR(__xludf.dummyfunction("""COMPUTED_VALUE"""),736086)</f>
        <v>736086</v>
      </c>
      <c r="R165" s="84" t="n">
        <f aca="false">IFERROR(__xludf.dummyfunction("""COMPUTED_VALUE"""),381583)</f>
        <v>381583</v>
      </c>
      <c r="S165" s="84" t="n">
        <f aca="false">IFERROR(__xludf.dummyfunction("""COMPUTED_VALUE"""),288268)</f>
        <v>288268</v>
      </c>
      <c r="T165" s="84" t="n">
        <f aca="false">IFERROR(__xludf.dummyfunction("""COMPUTED_VALUE"""),337935)</f>
        <v>337935</v>
      </c>
      <c r="U165" s="84" t="n">
        <f aca="false">IFERROR(__xludf.dummyfunction("""COMPUTED_VALUE"""),312617)</f>
        <v>312617</v>
      </c>
      <c r="V165" s="84" t="n">
        <f aca="false">IFERROR(__xludf.dummyfunction("""COMPUTED_VALUE"""),160604)</f>
        <v>160604</v>
      </c>
      <c r="W165" s="84" t="n">
        <f aca="false">IFERROR(__xludf.dummyfunction("""COMPUTED_VALUE"""),673313)</f>
        <v>673313</v>
      </c>
      <c r="X165" s="84" t="n">
        <f aca="false">IFERROR(__xludf.dummyfunction("""COMPUTED_VALUE"""),1483206)</f>
        <v>1483206</v>
      </c>
      <c r="Y165" s="84" t="n">
        <f aca="false">IFERROR(__xludf.dummyfunction("""COMPUTED_VALUE"""),1097339)</f>
        <v>1097339</v>
      </c>
      <c r="Z165" s="84" t="n">
        <f aca="false">IFERROR(__xludf.dummyfunction("""COMPUTED_VALUE"""),579623)</f>
        <v>579623</v>
      </c>
      <c r="AA165" s="84" t="n">
        <f aca="false">IFERROR(__xludf.dummyfunction("""COMPUTED_VALUE"""),51593)</f>
        <v>51593</v>
      </c>
      <c r="AB165" s="84" t="n">
        <f aca="false">IFERROR(__xludf.dummyfunction("""COMPUTED_VALUE"""),931690)</f>
        <v>931690</v>
      </c>
      <c r="AC165" s="84" t="n">
        <f aca="false">IFERROR(__xludf.dummyfunction("""COMPUTED_VALUE"""),118831)</f>
        <v>118831</v>
      </c>
      <c r="AD165" s="84" t="n">
        <f aca="false">IFERROR(__xludf.dummyfunction("""COMPUTED_VALUE"""),234976)</f>
        <v>234976</v>
      </c>
      <c r="AE165" s="84" t="n">
        <f aca="false">IFERROR(__xludf.dummyfunction("""COMPUTED_VALUE"""),779711)</f>
        <v>779711</v>
      </c>
      <c r="AF165" s="84" t="n">
        <f aca="false">IFERROR(__xludf.dummyfunction("""COMPUTED_VALUE"""),263840)</f>
        <v>263840</v>
      </c>
      <c r="AG165" s="84" t="n">
        <f aca="false">IFERROR(__xludf.dummyfunction("""COMPUTED_VALUE"""),1616304)</f>
        <v>1616304</v>
      </c>
      <c r="AH165" s="84" t="n">
        <f aca="false">IFERROR(__xludf.dummyfunction("""COMPUTED_VALUE"""),295878)</f>
        <v>295878</v>
      </c>
      <c r="AI165" s="84" t="n">
        <f aca="false">IFERROR(__xludf.dummyfunction("""COMPUTED_VALUE"""),1139959)</f>
        <v>1139959</v>
      </c>
      <c r="AJ165" s="84" t="n">
        <f aca="false">IFERROR(__xludf.dummyfunction("""COMPUTED_VALUE"""),1692348)</f>
        <v>1692348</v>
      </c>
      <c r="AK165" s="84" t="n">
        <f aca="false">IFERROR(__xludf.dummyfunction("""COMPUTED_VALUE"""),83962)</f>
        <v>83962</v>
      </c>
      <c r="AL165" s="84" t="n">
        <f aca="false">IFERROR(__xludf.dummyfunction("""COMPUTED_VALUE"""),2157948)</f>
        <v>2157948</v>
      </c>
      <c r="AM165" s="84" t="n">
        <f aca="false">IFERROR(__xludf.dummyfunction("""COMPUTED_VALUE"""),515087)</f>
        <v>515087</v>
      </c>
      <c r="AN165" s="84" t="n">
        <f aca="false">IFERROR(__xludf.dummyfunction("""COMPUTED_VALUE"""),889157)</f>
        <v>889157</v>
      </c>
      <c r="AO165" s="84" t="n">
        <f aca="false">IFERROR(__xludf.dummyfunction("""COMPUTED_VALUE"""),1770088)</f>
        <v>1770088</v>
      </c>
      <c r="AP165" s="84" t="n">
        <f aca="false">IFERROR(__xludf.dummyfunction("""COMPUTED_VALUE"""),220340)</f>
        <v>220340</v>
      </c>
      <c r="AQ165" s="84" t="n">
        <f aca="false">IFERROR(__xludf.dummyfunction("""COMPUTED_VALUE"""),570885)</f>
        <v>570885</v>
      </c>
      <c r="AR165" s="84" t="n">
        <f aca="false">IFERROR(__xludf.dummyfunction("""COMPUTED_VALUE"""),13610)</f>
        <v>13610</v>
      </c>
      <c r="AS165" s="84" t="n">
        <f aca="false">IFERROR(__xludf.dummyfunction("""COMPUTED_VALUE"""),948693)</f>
        <v>948693</v>
      </c>
      <c r="AT165" s="84" t="n">
        <f aca="false">IFERROR(__xludf.dummyfunction("""COMPUTED_VALUE"""),5003646)</f>
        <v>5003646</v>
      </c>
      <c r="AU165" s="84" t="n">
        <f aca="false">IFERROR(__xludf.dummyfunction("""COMPUTED_VALUE"""),695467)</f>
        <v>695467</v>
      </c>
      <c r="AV165" s="84" t="n">
        <f aca="false">IFERROR(__xludf.dummyfunction("""COMPUTED_VALUE"""),0)</f>
        <v>0</v>
      </c>
      <c r="AW165" s="84" t="n">
        <f aca="false">IFERROR(__xludf.dummyfunction("""COMPUTED_VALUE"""),1510660)</f>
        <v>1510660</v>
      </c>
      <c r="AX165" s="84" t="n">
        <f aca="false">IFERROR(__xludf.dummyfunction("""COMPUTED_VALUE"""),1595821)</f>
        <v>1595821</v>
      </c>
      <c r="AY165" s="84" t="n">
        <f aca="false">IFERROR(__xludf.dummyfunction("""COMPUTED_VALUE"""),69657)</f>
        <v>69657</v>
      </c>
      <c r="AZ165" s="84" t="n">
        <f aca="false">IFERROR(__xludf.dummyfunction("""COMPUTED_VALUE"""),697209)</f>
        <v>697209</v>
      </c>
      <c r="BA165" s="84" t="n">
        <f aca="false">IFERROR(__xludf.dummyfunction("""COMPUTED_VALUE"""),65435)</f>
        <v>65435</v>
      </c>
    </row>
    <row r="166" customFormat="false" ht="15.75" hidden="false" customHeight="false" outlineLevel="0" collapsed="false">
      <c r="A166" s="78" t="str">
        <f aca="false">IFERROR(__xludf.dummyfunction("""COMPUTED_VALUE"""),"loan_type")</f>
        <v>loan_type</v>
      </c>
      <c r="B166" s="72" t="n">
        <f aca="false">IFERROR(__xludf.dummyfunction("""COMPUTED_VALUE"""),44871422)</f>
        <v>44871422</v>
      </c>
      <c r="C166" s="82" t="n">
        <f aca="false">IFERROR(__xludf.dummyfunction("""COMPUTED_VALUE"""),400962)</f>
        <v>400962</v>
      </c>
      <c r="D166" s="83" t="n">
        <f aca="false">IFERROR(__xludf.dummyfunction("""COMPUTED_VALUE"""),125733)</f>
        <v>125733</v>
      </c>
      <c r="E166" s="84" t="n">
        <f aca="false">IFERROR(__xludf.dummyfunction("""COMPUTED_VALUE"""),1795268)</f>
        <v>1795268</v>
      </c>
      <c r="F166" s="84" t="n">
        <f aca="false">IFERROR(__xludf.dummyfunction("""COMPUTED_VALUE"""),296527)</f>
        <v>296527</v>
      </c>
      <c r="G166" s="84" t="n">
        <f aca="false">IFERROR(__xludf.dummyfunction("""COMPUTED_VALUE"""),6346060)</f>
        <v>6346060</v>
      </c>
      <c r="H166" s="84" t="n">
        <f aca="false">IFERROR(__xludf.dummyfunction("""COMPUTED_VALUE"""),1273739)</f>
        <v>1273739</v>
      </c>
      <c r="I166" s="84" t="n">
        <f aca="false">IFERROR(__xludf.dummyfunction("""COMPUTED_VALUE"""),425701)</f>
        <v>425701</v>
      </c>
      <c r="J166" s="84" t="n">
        <f aca="false">IFERROR(__xludf.dummyfunction("""COMPUTED_VALUE"""),117591)</f>
        <v>117591</v>
      </c>
      <c r="K166" s="84" t="n">
        <f aca="false">IFERROR(__xludf.dummyfunction("""COMPUTED_VALUE"""),99590)</f>
        <v>99590</v>
      </c>
      <c r="L166" s="84" t="n">
        <f aca="false">IFERROR(__xludf.dummyfunction("""COMPUTED_VALUE"""),4557805)</f>
        <v>4557805</v>
      </c>
      <c r="M166" s="84" t="n">
        <f aca="false">IFERROR(__xludf.dummyfunction("""COMPUTED_VALUE"""),1222302)</f>
        <v>1222302</v>
      </c>
      <c r="N166" s="84" t="n">
        <f aca="false">IFERROR(__xludf.dummyfunction("""COMPUTED_VALUE"""),322058)</f>
        <v>322058</v>
      </c>
      <c r="O166" s="84" t="n">
        <f aca="false">IFERROR(__xludf.dummyfunction("""COMPUTED_VALUE"""),335274)</f>
        <v>335274</v>
      </c>
      <c r="P166" s="84" t="n">
        <f aca="false">IFERROR(__xludf.dummyfunction("""COMPUTED_VALUE"""),1896411)</f>
        <v>1896411</v>
      </c>
      <c r="Q166" s="84" t="n">
        <f aca="false">IFERROR(__xludf.dummyfunction("""COMPUTED_VALUE"""),728147)</f>
        <v>728147</v>
      </c>
      <c r="R166" s="84" t="n">
        <f aca="false">IFERROR(__xludf.dummyfunction("""COMPUTED_VALUE"""),361814)</f>
        <v>361814</v>
      </c>
      <c r="S166" s="84" t="n">
        <f aca="false">IFERROR(__xludf.dummyfunction("""COMPUTED_VALUE"""),261859)</f>
        <v>261859</v>
      </c>
      <c r="T166" s="84" t="n">
        <f aca="false">IFERROR(__xludf.dummyfunction("""COMPUTED_VALUE"""),336755)</f>
        <v>336755</v>
      </c>
      <c r="U166" s="84" t="n">
        <f aca="false">IFERROR(__xludf.dummyfunction("""COMPUTED_VALUE"""),279215)</f>
        <v>279215</v>
      </c>
      <c r="V166" s="84" t="n">
        <f aca="false">IFERROR(__xludf.dummyfunction("""COMPUTED_VALUE"""),158869)</f>
        <v>158869</v>
      </c>
      <c r="W166" s="84" t="n">
        <f aca="false">IFERROR(__xludf.dummyfunction("""COMPUTED_VALUE"""),537002)</f>
        <v>537002</v>
      </c>
      <c r="X166" s="84" t="n">
        <f aca="false">IFERROR(__xludf.dummyfunction("""COMPUTED_VALUE"""),530215)</f>
        <v>530215</v>
      </c>
      <c r="Y166" s="84" t="n">
        <f aca="false">IFERROR(__xludf.dummyfunction("""COMPUTED_VALUE"""),993235)</f>
        <v>993235</v>
      </c>
      <c r="Z166" s="84" t="n">
        <f aca="false">IFERROR(__xludf.dummyfunction("""COMPUTED_VALUE"""),580316)</f>
        <v>580316</v>
      </c>
      <c r="AA166" s="84" t="n">
        <f aca="false">IFERROR(__xludf.dummyfunction("""COMPUTED_VALUE"""),50104)</f>
        <v>50104</v>
      </c>
      <c r="AB166" s="84" t="n">
        <f aca="false">IFERROR(__xludf.dummyfunction("""COMPUTED_VALUE"""),832627)</f>
        <v>832627</v>
      </c>
      <c r="AC166" s="84" t="n">
        <f aca="false">IFERROR(__xludf.dummyfunction("""COMPUTED_VALUE"""),115855)</f>
        <v>115855</v>
      </c>
      <c r="AD166" s="84" t="n">
        <f aca="false">IFERROR(__xludf.dummyfunction("""COMPUTED_VALUE"""),221579)</f>
        <v>221579</v>
      </c>
      <c r="AE166" s="84" t="n">
        <f aca="false">IFERROR(__xludf.dummyfunction("""COMPUTED_VALUE"""),701808)</f>
        <v>701808</v>
      </c>
      <c r="AF166" s="84" t="n">
        <f aca="false">IFERROR(__xludf.dummyfunction("""COMPUTED_VALUE"""),114088)</f>
        <v>114088</v>
      </c>
      <c r="AG166" s="84" t="n">
        <f aca="false">IFERROR(__xludf.dummyfunction("""COMPUTED_VALUE"""),999226)</f>
        <v>999226</v>
      </c>
      <c r="AH166" s="84" t="n">
        <f aca="false">IFERROR(__xludf.dummyfunction("""COMPUTED_VALUE"""),273758)</f>
        <v>273758</v>
      </c>
      <c r="AI166" s="84" t="n">
        <f aca="false">IFERROR(__xludf.dummyfunction("""COMPUTED_VALUE"""),738234)</f>
        <v>738234</v>
      </c>
      <c r="AJ166" s="84" t="n">
        <f aca="false">IFERROR(__xludf.dummyfunction("""COMPUTED_VALUE"""),1566641)</f>
        <v>1566641</v>
      </c>
      <c r="AK166" s="84" t="n">
        <f aca="false">IFERROR(__xludf.dummyfunction("""COMPUTED_VALUE"""),83033)</f>
        <v>83033</v>
      </c>
      <c r="AL166" s="84" t="n">
        <f aca="false">IFERROR(__xludf.dummyfunction("""COMPUTED_VALUE"""),1972320)</f>
        <v>1972320</v>
      </c>
      <c r="AM166" s="84" t="n">
        <f aca="false">IFERROR(__xludf.dummyfunction("""COMPUTED_VALUE"""),488715)</f>
        <v>488715</v>
      </c>
      <c r="AN166" s="84" t="n">
        <f aca="false">IFERROR(__xludf.dummyfunction("""COMPUTED_VALUE"""),807147)</f>
        <v>807147</v>
      </c>
      <c r="AO166" s="84" t="n">
        <f aca="false">IFERROR(__xludf.dummyfunction("""COMPUTED_VALUE"""),1618901)</f>
        <v>1618901</v>
      </c>
      <c r="AP166" s="84" t="n">
        <f aca="false">IFERROR(__xludf.dummyfunction("""COMPUTED_VALUE"""),82340)</f>
        <v>82340</v>
      </c>
      <c r="AQ166" s="84" t="n">
        <f aca="false">IFERROR(__xludf.dummyfunction("""COMPUTED_VALUE"""),557101)</f>
        <v>557101</v>
      </c>
      <c r="AR166" s="84" t="n">
        <f aca="false">IFERROR(__xludf.dummyfunction("""COMPUTED_VALUE"""),13595)</f>
        <v>13595</v>
      </c>
      <c r="AS166" s="84" t="n">
        <f aca="false">IFERROR(__xludf.dummyfunction("""COMPUTED_VALUE"""),857416)</f>
        <v>857416</v>
      </c>
      <c r="AT166" s="84" t="n">
        <f aca="false">IFERROR(__xludf.dummyfunction("""COMPUTED_VALUE"""),4553234)</f>
        <v>4553234</v>
      </c>
      <c r="AU166" s="84" t="n">
        <f aca="false">IFERROR(__xludf.dummyfunction("""COMPUTED_VALUE"""),637938)</f>
        <v>637938</v>
      </c>
      <c r="AV166" s="84" t="n">
        <f aca="false">IFERROR(__xludf.dummyfunction("""COMPUTED_VALUE"""),37059)</f>
        <v>37059</v>
      </c>
      <c r="AW166" s="84" t="n">
        <f aca="false">IFERROR(__xludf.dummyfunction("""COMPUTED_VALUE"""),1374332)</f>
        <v>1374332</v>
      </c>
      <c r="AX166" s="84" t="n">
        <f aca="false">IFERROR(__xludf.dummyfunction("""COMPUTED_VALUE"""),1418796)</f>
        <v>1418796</v>
      </c>
      <c r="AY166" s="84" t="n">
        <f aca="false">IFERROR(__xludf.dummyfunction("""COMPUTED_VALUE"""),66547)</f>
        <v>66547</v>
      </c>
      <c r="AZ166" s="84" t="n">
        <f aca="false">IFERROR(__xludf.dummyfunction("""COMPUTED_VALUE"""),643639)</f>
        <v>643639</v>
      </c>
      <c r="BA166" s="84" t="n">
        <f aca="false">IFERROR(__xludf.dummyfunction("""COMPUTED_VALUE"""),62941)</f>
        <v>62941</v>
      </c>
    </row>
    <row r="167" customFormat="false" ht="15.75" hidden="false" customHeight="false" outlineLevel="0" collapsed="false">
      <c r="A167" s="78" t="str">
        <f aca="false">IFERROR(__xludf.dummyfunction("""COMPUTED_VALUE"""),"loan_due_date")</f>
        <v>loan_due_date</v>
      </c>
      <c r="B167" s="72" t="n">
        <f aca="false">IFERROR(__xludf.dummyfunction("""COMPUTED_VALUE"""),43662350)</f>
        <v>43662350</v>
      </c>
      <c r="C167" s="82" t="n">
        <f aca="false">IFERROR(__xludf.dummyfunction("""COMPUTED_VALUE"""),394891)</f>
        <v>394891</v>
      </c>
      <c r="D167" s="83" t="n">
        <f aca="false">IFERROR(__xludf.dummyfunction("""COMPUTED_VALUE"""),125859)</f>
        <v>125859</v>
      </c>
      <c r="E167" s="84" t="n">
        <f aca="false">IFERROR(__xludf.dummyfunction("""COMPUTED_VALUE"""),1655983)</f>
        <v>1655983</v>
      </c>
      <c r="F167" s="84" t="n">
        <f aca="false">IFERROR(__xludf.dummyfunction("""COMPUTED_VALUE"""),287865)</f>
        <v>287865</v>
      </c>
      <c r="G167" s="84" t="n">
        <f aca="false">IFERROR(__xludf.dummyfunction("""COMPUTED_VALUE"""),7081995)</f>
        <v>7081995</v>
      </c>
      <c r="H167" s="84" t="n">
        <f aca="false">IFERROR(__xludf.dummyfunction("""COMPUTED_VALUE"""),1392958)</f>
        <v>1392958</v>
      </c>
      <c r="I167" s="84" t="n">
        <f aca="false">IFERROR(__xludf.dummyfunction("""COMPUTED_VALUE"""),690198)</f>
        <v>690198</v>
      </c>
      <c r="J167" s="84" t="n">
        <f aca="false">IFERROR(__xludf.dummyfunction("""COMPUTED_VALUE"""),118296)</f>
        <v>118296</v>
      </c>
      <c r="K167" s="84" t="n">
        <f aca="false">IFERROR(__xludf.dummyfunction("""COMPUTED_VALUE"""),4098)</f>
        <v>4098</v>
      </c>
      <c r="L167" s="84" t="n">
        <f aca="false">IFERROR(__xludf.dummyfunction("""COMPUTED_VALUE"""),4030296)</f>
        <v>4030296</v>
      </c>
      <c r="M167" s="84" t="n">
        <f aca="false">IFERROR(__xludf.dummyfunction("""COMPUTED_VALUE"""),1152147)</f>
        <v>1152147</v>
      </c>
      <c r="N167" s="84" t="n">
        <f aca="false">IFERROR(__xludf.dummyfunction("""COMPUTED_VALUE"""),333172)</f>
        <v>333172</v>
      </c>
      <c r="O167" s="84" t="n">
        <f aca="false">IFERROR(__xludf.dummyfunction("""COMPUTED_VALUE"""),337606)</f>
        <v>337606</v>
      </c>
      <c r="P167" s="84" t="n">
        <f aca="false">IFERROR(__xludf.dummyfunction("""COMPUTED_VALUE"""),2064639)</f>
        <v>2064639</v>
      </c>
      <c r="Q167" s="84" t="n">
        <f aca="false">IFERROR(__xludf.dummyfunction("""COMPUTED_VALUE"""),645158)</f>
        <v>645158</v>
      </c>
      <c r="R167" s="84" t="n">
        <f aca="false">IFERROR(__xludf.dummyfunction("""COMPUTED_VALUE"""),348395)</f>
        <v>348395</v>
      </c>
      <c r="S167" s="84" t="n">
        <f aca="false">IFERROR(__xludf.dummyfunction("""COMPUTED_VALUE"""),264817)</f>
        <v>264817</v>
      </c>
      <c r="T167" s="84" t="n">
        <f aca="false">IFERROR(__xludf.dummyfunction("""COMPUTED_VALUE"""),328267)</f>
        <v>328267</v>
      </c>
      <c r="U167" s="84" t="n">
        <f aca="false">IFERROR(__xludf.dummyfunction("""COMPUTED_VALUE"""),115199)</f>
        <v>115199</v>
      </c>
      <c r="V167" s="84" t="n">
        <f aca="false">IFERROR(__xludf.dummyfunction("""COMPUTED_VALUE"""),104392)</f>
        <v>104392</v>
      </c>
      <c r="W167" s="84" t="n">
        <f aca="false">IFERROR(__xludf.dummyfunction("""COMPUTED_VALUE"""),500228)</f>
        <v>500228</v>
      </c>
      <c r="X167" s="84" t="n">
        <f aca="false">IFERROR(__xludf.dummyfunction("""COMPUTED_VALUE"""),516615)</f>
        <v>516615</v>
      </c>
      <c r="Y167" s="84" t="n">
        <f aca="false">IFERROR(__xludf.dummyfunction("""COMPUTED_VALUE"""),963942)</f>
        <v>963942</v>
      </c>
      <c r="Z167" s="84" t="n">
        <f aca="false">IFERROR(__xludf.dummyfunction("""COMPUTED_VALUE"""),556922)</f>
        <v>556922</v>
      </c>
      <c r="AA167" s="84" t="n">
        <f aca="false">IFERROR(__xludf.dummyfunction("""COMPUTED_VALUE"""),47777)</f>
        <v>47777</v>
      </c>
      <c r="AB167" s="84" t="n">
        <f aca="false">IFERROR(__xludf.dummyfunction("""COMPUTED_VALUE"""),842380)</f>
        <v>842380</v>
      </c>
      <c r="AC167" s="84" t="n">
        <f aca="false">IFERROR(__xludf.dummyfunction("""COMPUTED_VALUE"""),111167)</f>
        <v>111167</v>
      </c>
      <c r="AD167" s="84" t="n">
        <f aca="false">IFERROR(__xludf.dummyfunction("""COMPUTED_VALUE"""),215714)</f>
        <v>215714</v>
      </c>
      <c r="AE167" s="84" t="n">
        <f aca="false">IFERROR(__xludf.dummyfunction("""COMPUTED_VALUE"""),750936)</f>
        <v>750936</v>
      </c>
      <c r="AF167" s="84" t="n">
        <f aca="false">IFERROR(__xludf.dummyfunction("""COMPUTED_VALUE"""),86464)</f>
        <v>86464</v>
      </c>
      <c r="AG167" s="84" t="n">
        <f aca="false">IFERROR(__xludf.dummyfunction("""COMPUTED_VALUE"""),999243)</f>
        <v>999243</v>
      </c>
      <c r="AH167" s="84" t="n">
        <f aca="false">IFERROR(__xludf.dummyfunction("""COMPUTED_VALUE"""),278179)</f>
        <v>278179</v>
      </c>
      <c r="AI167" s="84" t="n">
        <f aca="false">IFERROR(__xludf.dummyfunction("""COMPUTED_VALUE"""),784672)</f>
        <v>784672</v>
      </c>
      <c r="AJ167" s="84" t="n">
        <f aca="false">IFERROR(__xludf.dummyfunction("""COMPUTED_VALUE"""),1534107)</f>
        <v>1534107</v>
      </c>
      <c r="AK167" s="84" t="n">
        <f aca="false">IFERROR(__xludf.dummyfunction("""COMPUTED_VALUE"""),80947)</f>
        <v>80947</v>
      </c>
      <c r="AL167" s="84" t="n">
        <f aca="false">IFERROR(__xludf.dummyfunction("""COMPUTED_VALUE"""),2035812)</f>
        <v>2035812</v>
      </c>
      <c r="AM167" s="84" t="n">
        <f aca="false">IFERROR(__xludf.dummyfunction("""COMPUTED_VALUE"""),479893)</f>
        <v>479893</v>
      </c>
      <c r="AN167" s="84" t="n">
        <f aca="false">IFERROR(__xludf.dummyfunction("""COMPUTED_VALUE"""),866206)</f>
        <v>866206</v>
      </c>
      <c r="AO167" s="84" t="n">
        <f aca="false">IFERROR(__xludf.dummyfunction("""COMPUTED_VALUE"""),1367562)</f>
        <v>1367562</v>
      </c>
      <c r="AP167" s="84" t="n">
        <f aca="false">IFERROR(__xludf.dummyfunction("""COMPUTED_VALUE"""),93051)</f>
        <v>93051</v>
      </c>
      <c r="AQ167" s="84" t="n">
        <f aca="false">IFERROR(__xludf.dummyfunction("""COMPUTED_VALUE"""),536488)</f>
        <v>536488</v>
      </c>
      <c r="AR167" s="84" t="n">
        <f aca="false">IFERROR(__xludf.dummyfunction("""COMPUTED_VALUE"""),12578)</f>
        <v>12578</v>
      </c>
      <c r="AS167" s="84" t="n">
        <f aca="false">IFERROR(__xludf.dummyfunction("""COMPUTED_VALUE"""),882882)</f>
        <v>882882</v>
      </c>
      <c r="AT167" s="84" t="n">
        <f aca="false">IFERROR(__xludf.dummyfunction("""COMPUTED_VALUE"""),4484825)</f>
        <v>4484825</v>
      </c>
      <c r="AU167" s="84" t="n">
        <f aca="false">IFERROR(__xludf.dummyfunction("""COMPUTED_VALUE"""),641360)</f>
        <v>641360</v>
      </c>
      <c r="AV167" s="84" t="n">
        <f aca="false">IFERROR(__xludf.dummyfunction("""COMPUTED_VALUE"""),0)</f>
        <v>0</v>
      </c>
      <c r="AW167" s="84" t="n">
        <f aca="false">IFERROR(__xludf.dummyfunction("""COMPUTED_VALUE"""),331640)</f>
        <v>331640</v>
      </c>
      <c r="AX167" s="84" t="n">
        <f aca="false">IFERROR(__xludf.dummyfunction("""COMPUTED_VALUE"""),1520185)</f>
        <v>1520185</v>
      </c>
      <c r="AY167" s="84" t="n">
        <f aca="false">IFERROR(__xludf.dummyfunction("""COMPUTED_VALUE"""),39263)</f>
        <v>39263</v>
      </c>
      <c r="AZ167" s="84" t="n">
        <f aca="false">IFERROR(__xludf.dummyfunction("""COMPUTED_VALUE"""),563904)</f>
        <v>563904</v>
      </c>
      <c r="BA167" s="84" t="n">
        <f aca="false">IFERROR(__xludf.dummyfunction("""COMPUTED_VALUE"""),61177)</f>
        <v>61177</v>
      </c>
    </row>
    <row r="168" customFormat="false" ht="15.75" hidden="false" customHeight="false" outlineLevel="0" collapsed="false">
      <c r="A168" s="78" t="str">
        <f aca="false">IFERROR(__xludf.dummyfunction("""COMPUTED_VALUE"""),"loan_finance_type")</f>
        <v>loan_finance_type</v>
      </c>
      <c r="B168" s="72" t="n">
        <f aca="false">IFERROR(__xludf.dummyfunction("""COMPUTED_VALUE"""),17017505)</f>
        <v>17017505</v>
      </c>
      <c r="C168" s="82" t="n">
        <f aca="false">IFERROR(__xludf.dummyfunction("""COMPUTED_VALUE"""),72961)</f>
        <v>72961</v>
      </c>
      <c r="D168" s="83" t="n">
        <f aca="false">IFERROR(__xludf.dummyfunction("""COMPUTED_VALUE"""),19215)</f>
        <v>19215</v>
      </c>
      <c r="E168" s="84" t="n">
        <f aca="false">IFERROR(__xludf.dummyfunction("""COMPUTED_VALUE"""),556033)</f>
        <v>556033</v>
      </c>
      <c r="F168" s="84" t="n">
        <f aca="false">IFERROR(__xludf.dummyfunction("""COMPUTED_VALUE"""),38990)</f>
        <v>38990</v>
      </c>
      <c r="G168" s="84" t="n">
        <f aca="false">IFERROR(__xludf.dummyfunction("""COMPUTED_VALUE"""),3450863)</f>
        <v>3450863</v>
      </c>
      <c r="H168" s="84" t="n">
        <f aca="false">IFERROR(__xludf.dummyfunction("""COMPUTED_VALUE"""),482157)</f>
        <v>482157</v>
      </c>
      <c r="I168" s="84" t="n">
        <f aca="false">IFERROR(__xludf.dummyfunction("""COMPUTED_VALUE"""),453133)</f>
        <v>453133</v>
      </c>
      <c r="J168" s="84" t="n">
        <f aca="false">IFERROR(__xludf.dummyfunction("""COMPUTED_VALUE"""),21083)</f>
        <v>21083</v>
      </c>
      <c r="K168" s="84" t="n">
        <f aca="false">IFERROR(__xludf.dummyfunction("""COMPUTED_VALUE"""),95734)</f>
        <v>95734</v>
      </c>
      <c r="L168" s="84" t="n">
        <f aca="false">IFERROR(__xludf.dummyfunction("""COMPUTED_VALUE"""),2799813)</f>
        <v>2799813</v>
      </c>
      <c r="M168" s="84" t="n">
        <f aca="false">IFERROR(__xludf.dummyfunction("""COMPUTED_VALUE"""),657682)</f>
        <v>657682</v>
      </c>
      <c r="N168" s="84" t="n">
        <f aca="false">IFERROR(__xludf.dummyfunction("""COMPUTED_VALUE"""),97063)</f>
        <v>97063</v>
      </c>
      <c r="O168" s="84" t="n">
        <f aca="false">IFERROR(__xludf.dummyfunction("""COMPUTED_VALUE"""),50232)</f>
        <v>50232</v>
      </c>
      <c r="P168" s="84" t="n">
        <f aca="false">IFERROR(__xludf.dummyfunction("""COMPUTED_VALUE"""),1183021)</f>
        <v>1183021</v>
      </c>
      <c r="Q168" s="84" t="n">
        <f aca="false">IFERROR(__xludf.dummyfunction("""COMPUTED_VALUE"""),188848)</f>
        <v>188848</v>
      </c>
      <c r="R168" s="84" t="n">
        <f aca="false">IFERROR(__xludf.dummyfunction("""COMPUTED_VALUE"""),84582)</f>
        <v>84582</v>
      </c>
      <c r="S168" s="84" t="n">
        <f aca="false">IFERROR(__xludf.dummyfunction("""COMPUTED_VALUE"""),47710)</f>
        <v>47710</v>
      </c>
      <c r="T168" s="84" t="n">
        <f aca="false">IFERROR(__xludf.dummyfunction("""COMPUTED_VALUE"""),77967)</f>
        <v>77967</v>
      </c>
      <c r="U168" s="84" t="n">
        <f aca="false">IFERROR(__xludf.dummyfunction("""COMPUTED_VALUE"""),135273)</f>
        <v>135273</v>
      </c>
      <c r="V168" s="84" t="n">
        <f aca="false">IFERROR(__xludf.dummyfunction("""COMPUTED_VALUE"""),6520)</f>
        <v>6520</v>
      </c>
      <c r="W168" s="84" t="n">
        <f aca="false">IFERROR(__xludf.dummyfunction("""COMPUTED_VALUE"""),39743)</f>
        <v>39743</v>
      </c>
      <c r="X168" s="84" t="n">
        <f aca="false">IFERROR(__xludf.dummyfunction("""COMPUTED_VALUE"""),33549)</f>
        <v>33549</v>
      </c>
      <c r="Y168" s="84" t="n">
        <f aca="false">IFERROR(__xludf.dummyfunction("""COMPUTED_VALUE"""),211151)</f>
        <v>211151</v>
      </c>
      <c r="Z168" s="84" t="n">
        <f aca="false">IFERROR(__xludf.dummyfunction("""COMPUTED_VALUE"""),64513)</f>
        <v>64513</v>
      </c>
      <c r="AA168" s="84" t="n">
        <f aca="false">IFERROR(__xludf.dummyfunction("""COMPUTED_VALUE"""),5311)</f>
        <v>5311</v>
      </c>
      <c r="AB168" s="84" t="n">
        <f aca="false">IFERROR(__xludf.dummyfunction("""COMPUTED_VALUE"""),229607)</f>
        <v>229607</v>
      </c>
      <c r="AC168" s="84" t="n">
        <f aca="false">IFERROR(__xludf.dummyfunction("""COMPUTED_VALUE"""),16190)</f>
        <v>16190</v>
      </c>
      <c r="AD168" s="84" t="n">
        <f aca="false">IFERROR(__xludf.dummyfunction("""COMPUTED_VALUE"""),24687)</f>
        <v>24687</v>
      </c>
      <c r="AE168" s="84" t="n">
        <f aca="false">IFERROR(__xludf.dummyfunction("""COMPUTED_VALUE"""),308990)</f>
        <v>308990</v>
      </c>
      <c r="AF168" s="84" t="n">
        <f aca="false">IFERROR(__xludf.dummyfunction("""COMPUTED_VALUE"""),8741)</f>
        <v>8741</v>
      </c>
      <c r="AG168" s="84" t="n">
        <f aca="false">IFERROR(__xludf.dummyfunction("""COMPUTED_VALUE"""),189797)</f>
        <v>189797</v>
      </c>
      <c r="AH168" s="84" t="n">
        <f aca="false">IFERROR(__xludf.dummyfunction("""COMPUTED_VALUE"""),47086)</f>
        <v>47086</v>
      </c>
      <c r="AI168" s="84" t="n">
        <f aca="false">IFERROR(__xludf.dummyfunction("""COMPUTED_VALUE"""),139843)</f>
        <v>139843</v>
      </c>
      <c r="AJ168" s="84" t="n">
        <f aca="false">IFERROR(__xludf.dummyfunction("""COMPUTED_VALUE"""),456583)</f>
        <v>456583</v>
      </c>
      <c r="AK168" s="84" t="n">
        <f aca="false">IFERROR(__xludf.dummyfunction("""COMPUTED_VALUE"""),8909)</f>
        <v>8909</v>
      </c>
      <c r="AL168" s="84" t="n">
        <f aca="false">IFERROR(__xludf.dummyfunction("""COMPUTED_VALUE"""),805521)</f>
        <v>805521</v>
      </c>
      <c r="AM168" s="84" t="n">
        <f aca="false">IFERROR(__xludf.dummyfunction("""COMPUTED_VALUE"""),60281)</f>
        <v>60281</v>
      </c>
      <c r="AN168" s="84" t="n">
        <f aca="false">IFERROR(__xludf.dummyfunction("""COMPUTED_VALUE"""),215255)</f>
        <v>215255</v>
      </c>
      <c r="AO168" s="84" t="n">
        <f aca="false">IFERROR(__xludf.dummyfunction("""COMPUTED_VALUE"""),555856)</f>
        <v>555856</v>
      </c>
      <c r="AP168" s="84" t="n">
        <f aca="false">IFERROR(__xludf.dummyfunction("""COMPUTED_VALUE"""),32822)</f>
        <v>32822</v>
      </c>
      <c r="AQ168" s="84" t="n">
        <f aca="false">IFERROR(__xludf.dummyfunction("""COMPUTED_VALUE"""),74366)</f>
        <v>74366</v>
      </c>
      <c r="AR168" s="84" t="n">
        <f aca="false">IFERROR(__xludf.dummyfunction("""COMPUTED_VALUE"""),934)</f>
        <v>934</v>
      </c>
      <c r="AS168" s="84" t="n">
        <f aca="false">IFERROR(__xludf.dummyfunction("""COMPUTED_VALUE"""),166392)</f>
        <v>166392</v>
      </c>
      <c r="AT168" s="84" t="n">
        <f aca="false">IFERROR(__xludf.dummyfunction("""COMPUTED_VALUE"""),695585)</f>
        <v>695585</v>
      </c>
      <c r="AU168" s="84" t="n">
        <f aca="false">IFERROR(__xludf.dummyfunction("""COMPUTED_VALUE"""),202248)</f>
        <v>202248</v>
      </c>
      <c r="AV168" s="84" t="n">
        <f aca="false">IFERROR(__xludf.dummyfunction("""COMPUTED_VALUE"""),0)</f>
        <v>0</v>
      </c>
      <c r="AW168" s="84" t="n">
        <f aca="false">IFERROR(__xludf.dummyfunction("""COMPUTED_VALUE"""),1174674)</f>
        <v>1174674</v>
      </c>
      <c r="AX168" s="84" t="n">
        <f aca="false">IFERROR(__xludf.dummyfunction("""COMPUTED_VALUE"""),492793)</f>
        <v>492793</v>
      </c>
      <c r="AY168" s="84" t="n">
        <f aca="false">IFERROR(__xludf.dummyfunction("""COMPUTED_VALUE"""),27944)</f>
        <v>27944</v>
      </c>
      <c r="AZ168" s="84" t="n">
        <f aca="false">IFERROR(__xludf.dummyfunction("""COMPUTED_VALUE"""),201123)</f>
        <v>201123</v>
      </c>
      <c r="BA168" s="84" t="n">
        <f aca="false">IFERROR(__xludf.dummyfunction("""COMPUTED_VALUE"""),8131)</f>
        <v>8131</v>
      </c>
    </row>
    <row r="169" customFormat="false" ht="15.75" hidden="false" customHeight="false" outlineLevel="0" collapsed="false">
      <c r="A169" s="78" t="str">
        <f aca="false">IFERROR(__xludf.dummyfunction("""COMPUTED_VALUE"""),"loan_interest_rate")</f>
        <v>loan_interest_rate</v>
      </c>
      <c r="B169" s="72" t="n">
        <f aca="false">IFERROR(__xludf.dummyfunction("""COMPUTED_VALUE"""),10889921)</f>
        <v>10889921</v>
      </c>
      <c r="C169" s="82" t="n">
        <f aca="false">IFERROR(__xludf.dummyfunction("""COMPUTED_VALUE"""),62041)</f>
        <v>62041</v>
      </c>
      <c r="D169" s="83" t="n">
        <f aca="false">IFERROR(__xludf.dummyfunction("""COMPUTED_VALUE"""),14742)</f>
        <v>14742</v>
      </c>
      <c r="E169" s="84" t="n">
        <f aca="false">IFERROR(__xludf.dummyfunction("""COMPUTED_VALUE"""),453394)</f>
        <v>453394</v>
      </c>
      <c r="F169" s="84" t="n">
        <f aca="false">IFERROR(__xludf.dummyfunction("""COMPUTED_VALUE"""),28221)</f>
        <v>28221</v>
      </c>
      <c r="G169" s="84" t="n">
        <f aca="false">IFERROR(__xludf.dummyfunction("""COMPUTED_VALUE"""),2896306)</f>
        <v>2896306</v>
      </c>
      <c r="H169" s="84" t="n">
        <f aca="false">IFERROR(__xludf.dummyfunction("""COMPUTED_VALUE"""),400115)</f>
        <v>400115</v>
      </c>
      <c r="I169" s="84" t="n">
        <f aca="false">IFERROR(__xludf.dummyfunction("""COMPUTED_VALUE"""),173904)</f>
        <v>173904</v>
      </c>
      <c r="J169" s="84" t="n">
        <f aca="false">IFERROR(__xludf.dummyfunction("""COMPUTED_VALUE"""),16681)</f>
        <v>16681</v>
      </c>
      <c r="K169" s="84" t="n">
        <f aca="false">IFERROR(__xludf.dummyfunction("""COMPUTED_VALUE"""),557)</f>
        <v>557</v>
      </c>
      <c r="L169" s="84" t="n">
        <f aca="false">IFERROR(__xludf.dummyfunction("""COMPUTED_VALUE"""),1203491)</f>
        <v>1203491</v>
      </c>
      <c r="M169" s="84" t="n">
        <f aca="false">IFERROR(__xludf.dummyfunction("""COMPUTED_VALUE"""),302035)</f>
        <v>302035</v>
      </c>
      <c r="N169" s="84" t="n">
        <f aca="false">IFERROR(__xludf.dummyfunction("""COMPUTED_VALUE"""),69666)</f>
        <v>69666</v>
      </c>
      <c r="O169" s="84" t="n">
        <f aca="false">IFERROR(__xludf.dummyfunction("""COMPUTED_VALUE"""),32867)</f>
        <v>32867</v>
      </c>
      <c r="P169" s="84" t="n">
        <f aca="false">IFERROR(__xludf.dummyfunction("""COMPUTED_VALUE"""),1140195)</f>
        <v>1140195</v>
      </c>
      <c r="Q169" s="84" t="n">
        <f aca="false">IFERROR(__xludf.dummyfunction("""COMPUTED_VALUE"""),94880)</f>
        <v>94880</v>
      </c>
      <c r="R169" s="84" t="n">
        <f aca="false">IFERROR(__xludf.dummyfunction("""COMPUTED_VALUE"""),66638)</f>
        <v>66638</v>
      </c>
      <c r="S169" s="84" t="n">
        <f aca="false">IFERROR(__xludf.dummyfunction("""COMPUTED_VALUE"""),33086)</f>
        <v>33086</v>
      </c>
      <c r="T169" s="84" t="n">
        <f aca="false">IFERROR(__xludf.dummyfunction("""COMPUTED_VALUE"""),38945)</f>
        <v>38945</v>
      </c>
      <c r="U169" s="84" t="n">
        <f aca="false">IFERROR(__xludf.dummyfunction("""COMPUTED_VALUE"""),14352)</f>
        <v>14352</v>
      </c>
      <c r="V169" s="84" t="n">
        <f aca="false">IFERROR(__xludf.dummyfunction("""COMPUTED_VALUE"""),8836)</f>
        <v>8836</v>
      </c>
      <c r="W169" s="84" t="n">
        <f aca="false">IFERROR(__xludf.dummyfunction("""COMPUTED_VALUE"""),30472)</f>
        <v>30472</v>
      </c>
      <c r="X169" s="84" t="n">
        <f aca="false">IFERROR(__xludf.dummyfunction("""COMPUTED_VALUE"""),68454)</f>
        <v>68454</v>
      </c>
      <c r="Y169" s="84" t="n">
        <f aca="false">IFERROR(__xludf.dummyfunction("""COMPUTED_VALUE"""),175430)</f>
        <v>175430</v>
      </c>
      <c r="Z169" s="84" t="n">
        <f aca="false">IFERROR(__xludf.dummyfunction("""COMPUTED_VALUE"""),118483)</f>
        <v>118483</v>
      </c>
      <c r="AA169" s="84" t="n">
        <f aca="false">IFERROR(__xludf.dummyfunction("""COMPUTED_VALUE"""),1746)</f>
        <v>1746</v>
      </c>
      <c r="AB169" s="84" t="n">
        <f aca="false">IFERROR(__xludf.dummyfunction("""COMPUTED_VALUE"""),173979)</f>
        <v>173979</v>
      </c>
      <c r="AC169" s="84" t="n">
        <f aca="false">IFERROR(__xludf.dummyfunction("""COMPUTED_VALUE"""),10582)</f>
        <v>10582</v>
      </c>
      <c r="AD169" s="84" t="n">
        <f aca="false">IFERROR(__xludf.dummyfunction("""COMPUTED_VALUE"""),17452)</f>
        <v>17452</v>
      </c>
      <c r="AE169" s="84" t="n">
        <f aca="false">IFERROR(__xludf.dummyfunction("""COMPUTED_VALUE"""),273474)</f>
        <v>273474</v>
      </c>
      <c r="AF169" s="84" t="n">
        <f aca="false">IFERROR(__xludf.dummyfunction("""COMPUTED_VALUE"""),7906)</f>
        <v>7906</v>
      </c>
      <c r="AG169" s="84" t="n">
        <f aca="false">IFERROR(__xludf.dummyfunction("""COMPUTED_VALUE"""),140417)</f>
        <v>140417</v>
      </c>
      <c r="AH169" s="84" t="n">
        <f aca="false">IFERROR(__xludf.dummyfunction("""COMPUTED_VALUE"""),55250)</f>
        <v>55250</v>
      </c>
      <c r="AI169" s="84" t="n">
        <f aca="false">IFERROR(__xludf.dummyfunction("""COMPUTED_VALUE"""),99683)</f>
        <v>99683</v>
      </c>
      <c r="AJ169" s="84" t="n">
        <f aca="false">IFERROR(__xludf.dummyfunction("""COMPUTED_VALUE"""),326019)</f>
        <v>326019</v>
      </c>
      <c r="AK169" s="84" t="n">
        <f aca="false">IFERROR(__xludf.dummyfunction("""COMPUTED_VALUE"""),14322)</f>
        <v>14322</v>
      </c>
      <c r="AL169" s="84" t="n">
        <f aca="false">IFERROR(__xludf.dummyfunction("""COMPUTED_VALUE"""),424761)</f>
        <v>424761</v>
      </c>
      <c r="AM169" s="84" t="n">
        <f aca="false">IFERROR(__xludf.dummyfunction("""COMPUTED_VALUE"""),37276)</f>
        <v>37276</v>
      </c>
      <c r="AN169" s="84" t="n">
        <f aca="false">IFERROR(__xludf.dummyfunction("""COMPUTED_VALUE"""),182057)</f>
        <v>182057</v>
      </c>
      <c r="AO169" s="84" t="n">
        <f aca="false">IFERROR(__xludf.dummyfunction("""COMPUTED_VALUE"""),160226)</f>
        <v>160226</v>
      </c>
      <c r="AP169" s="84" t="n">
        <f aca="false">IFERROR(__xludf.dummyfunction("""COMPUTED_VALUE"""),4019)</f>
        <v>4019</v>
      </c>
      <c r="AQ169" s="84" t="n">
        <f aca="false">IFERROR(__xludf.dummyfunction("""COMPUTED_VALUE"""),64970)</f>
        <v>64970</v>
      </c>
      <c r="AR169" s="84" t="n">
        <f aca="false">IFERROR(__xludf.dummyfunction("""COMPUTED_VALUE"""),612)</f>
        <v>612</v>
      </c>
      <c r="AS169" s="84" t="n">
        <f aca="false">IFERROR(__xludf.dummyfunction("""COMPUTED_VALUE"""),128178)</f>
        <v>128178</v>
      </c>
      <c r="AT169" s="84" t="n">
        <f aca="false">IFERROR(__xludf.dummyfunction("""COMPUTED_VALUE"""),567064)</f>
        <v>567064</v>
      </c>
      <c r="AU169" s="84" t="n">
        <f aca="false">IFERROR(__xludf.dummyfunction("""COMPUTED_VALUE"""),110511)</f>
        <v>110511</v>
      </c>
      <c r="AV169" s="84" t="n">
        <f aca="false">IFERROR(__xludf.dummyfunction("""COMPUTED_VALUE"""),0)</f>
        <v>0</v>
      </c>
      <c r="AW169" s="84" t="n">
        <f aca="false">IFERROR(__xludf.dummyfunction("""COMPUTED_VALUE"""),96627)</f>
        <v>96627</v>
      </c>
      <c r="AX169" s="84" t="n">
        <f aca="false">IFERROR(__xludf.dummyfunction("""COMPUTED_VALUE"""),412549)</f>
        <v>412549</v>
      </c>
      <c r="AY169" s="84" t="n">
        <f aca="false">IFERROR(__xludf.dummyfunction("""COMPUTED_VALUE"""),4935)</f>
        <v>4935</v>
      </c>
      <c r="AZ169" s="84" t="n">
        <f aca="false">IFERROR(__xludf.dummyfunction("""COMPUTED_VALUE"""),126234)</f>
        <v>126234</v>
      </c>
      <c r="BA169" s="84" t="n">
        <f aca="false">IFERROR(__xludf.dummyfunction("""COMPUTED_VALUE"""),5281)</f>
        <v>5281</v>
      </c>
    </row>
    <row r="170" customFormat="false" ht="15.75" hidden="false" customHeight="false" outlineLevel="0" collapsed="false">
      <c r="B170" s="59"/>
      <c r="C170" s="79"/>
      <c r="D170" s="80"/>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row>
    <row r="171" customFormat="false" ht="15.75" hidden="false" customHeight="false" outlineLevel="0" collapsed="false">
      <c r="A171" s="74" t="s">
        <v>1821</v>
      </c>
      <c r="B171" s="63"/>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row>
    <row r="172" customFormat="false" ht="15.75" hidden="false" customHeight="false" outlineLevel="0" collapsed="false">
      <c r="A172" s="75" t="str">
        <f aca="false">IFERROR(__xludf.dummyfunction("TRANSPOSE(IMPORTRANGE(""https://docs.google.com/spreadsheets/d/1sNrf4xlwHQ-LujHTd1_nLHq6duGtTzjk33k9jntfg4c"", ""'Boundaries'!F4:F56""))"),"wkt")</f>
        <v>wkt</v>
      </c>
      <c r="B172" s="56" t="n">
        <f aca="false">IFERROR(__xludf.dummyfunction("""COMPUTED_VALUE"""),71050890)</f>
        <v>71050890</v>
      </c>
      <c r="C172" s="76" t="n">
        <f aca="false">IFERROR(__xludf.dummyfunction("""COMPUTED_VALUE"""),1334622)</f>
        <v>1334622</v>
      </c>
      <c r="D172" s="77" t="n">
        <f aca="false">IFERROR(__xludf.dummyfunction("""COMPUTED_VALUE"""),185875)</f>
        <v>185875</v>
      </c>
      <c r="E172" s="77" t="n">
        <f aca="false">IFERROR(__xludf.dummyfunction("""COMPUTED_VALUE"""),1293615)</f>
        <v>1293615</v>
      </c>
      <c r="F172" s="77" t="n">
        <f aca="false">IFERROR(__xludf.dummyfunction("""COMPUTED_VALUE"""),782562)</f>
        <v>782562</v>
      </c>
      <c r="G172" s="77" t="n">
        <f aca="false">IFERROR(__xludf.dummyfunction("""COMPUTED_VALUE"""),7929297)</f>
        <v>7929297</v>
      </c>
      <c r="H172" s="77" t="n">
        <f aca="false">IFERROR(__xludf.dummyfunction("""COMPUTED_VALUE"""),1556018)</f>
        <v>1556018</v>
      </c>
      <c r="I172" s="77" t="n">
        <f aca="false">IFERROR(__xludf.dummyfunction("""COMPUTED_VALUE"""),597606)</f>
        <v>597606</v>
      </c>
      <c r="J172" s="77" t="n">
        <f aca="false">IFERROR(__xludf.dummyfunction("""COMPUTED_VALUE"""),268186)</f>
        <v>268186</v>
      </c>
      <c r="K172" s="77" t="n">
        <f aca="false">IFERROR(__xludf.dummyfunction("""COMPUTED_VALUE"""),10)</f>
        <v>10</v>
      </c>
      <c r="L172" s="77" t="n">
        <f aca="false">IFERROR(__xludf.dummyfunction("""COMPUTED_VALUE"""),6157886)</f>
        <v>6157886</v>
      </c>
      <c r="M172" s="77" t="n">
        <f aca="false">IFERROR(__xludf.dummyfunction("""COMPUTED_VALUE"""),2161447)</f>
        <v>2161447</v>
      </c>
      <c r="N172" s="77" t="n">
        <f aca="false">IFERROR(__xludf.dummyfunction("""COMPUTED_VALUE"""),365528)</f>
        <v>365528</v>
      </c>
      <c r="O172" s="77" t="n">
        <f aca="false">IFERROR(__xludf.dummyfunction("""COMPUTED_VALUE"""),391699)</f>
        <v>391699</v>
      </c>
      <c r="P172" s="77" t="n">
        <f aca="false">IFERROR(__xludf.dummyfunction("""COMPUTED_VALUE"""),1968549)</f>
        <v>1968549</v>
      </c>
      <c r="Q172" s="77" t="n">
        <f aca="false">IFERROR(__xludf.dummyfunction("""COMPUTED_VALUE"""),992516)</f>
        <v>992516</v>
      </c>
      <c r="R172" s="77" t="n">
        <f aca="false">IFERROR(__xludf.dummyfunction("""COMPUTED_VALUE"""),953120)</f>
        <v>953120</v>
      </c>
      <c r="S172" s="77" t="n">
        <f aca="false">IFERROR(__xludf.dummyfunction("""COMPUTED_VALUE"""),795976)</f>
        <v>795976</v>
      </c>
      <c r="T172" s="77" t="n">
        <f aca="false">IFERROR(__xludf.dummyfunction("""COMPUTED_VALUE"""),518469)</f>
        <v>518469</v>
      </c>
      <c r="U172" s="77" t="n">
        <f aca="false">IFERROR(__xludf.dummyfunction("""COMPUTED_VALUE"""),1217291)</f>
        <v>1217291</v>
      </c>
      <c r="V172" s="77" t="n">
        <f aca="false">IFERROR(__xludf.dummyfunction("""COMPUTED_VALUE"""),241195)</f>
        <v>241195</v>
      </c>
      <c r="W172" s="77" t="n">
        <f aca="false">IFERROR(__xludf.dummyfunction("""COMPUTED_VALUE"""),1339158)</f>
        <v>1339158</v>
      </c>
      <c r="X172" s="77" t="n">
        <f aca="false">IFERROR(__xludf.dummyfunction("""COMPUTED_VALUE"""),1924824)</f>
        <v>1924824</v>
      </c>
      <c r="Y172" s="77" t="n">
        <f aca="false">IFERROR(__xludf.dummyfunction("""COMPUTED_VALUE"""),1233019)</f>
        <v>1233019</v>
      </c>
      <c r="Z172" s="77" t="n">
        <f aca="false">IFERROR(__xludf.dummyfunction("""COMPUTED_VALUE"""),1074940)</f>
        <v>1074940</v>
      </c>
      <c r="AA172" s="77" t="n">
        <f aca="false">IFERROR(__xludf.dummyfunction("""COMPUTED_VALUE"""),795998)</f>
        <v>795998</v>
      </c>
      <c r="AB172" s="77" t="n">
        <f aca="false">IFERROR(__xludf.dummyfunction("""COMPUTED_VALUE"""),1192976)</f>
        <v>1192976</v>
      </c>
      <c r="AC172" s="77" t="n">
        <f aca="false">IFERROR(__xludf.dummyfunction("""COMPUTED_VALUE"""),92183)</f>
        <v>92183</v>
      </c>
      <c r="AD172" s="77" t="n">
        <f aca="false">IFERROR(__xludf.dummyfunction("""COMPUTED_VALUE"""),539878)</f>
        <v>539878</v>
      </c>
      <c r="AE172" s="77" t="n">
        <f aca="false">IFERROR(__xludf.dummyfunction("""COMPUTED_VALUE"""),234269)</f>
        <v>234269</v>
      </c>
      <c r="AF172" s="77" t="n">
        <f aca="false">IFERROR(__xludf.dummyfunction("""COMPUTED_VALUE"""),483235)</f>
        <v>483235</v>
      </c>
      <c r="AG172" s="77" t="n">
        <f aca="false">IFERROR(__xludf.dummyfunction("""COMPUTED_VALUE"""),2161653)</f>
        <v>2161653</v>
      </c>
      <c r="AH172" s="77" t="n">
        <f aca="false">IFERROR(__xludf.dummyfunction("""COMPUTED_VALUE"""),326833)</f>
        <v>326833</v>
      </c>
      <c r="AI172" s="77" t="n">
        <f aca="false">IFERROR(__xludf.dummyfunction("""COMPUTED_VALUE"""),3074081)</f>
        <v>3074081</v>
      </c>
      <c r="AJ172" s="77" t="n">
        <f aca="false">IFERROR(__xludf.dummyfunction("""COMPUTED_VALUE"""),3296751)</f>
        <v>3296751</v>
      </c>
      <c r="AK172" s="77" t="n">
        <f aca="false">IFERROR(__xludf.dummyfunction("""COMPUTED_VALUE"""),37492)</f>
        <v>37492</v>
      </c>
      <c r="AL172" s="77" t="n">
        <f aca="false">IFERROR(__xludf.dummyfunction("""COMPUTED_VALUE"""),3202802)</f>
        <v>3202802</v>
      </c>
      <c r="AM172" s="77" t="n">
        <f aca="false">IFERROR(__xludf.dummyfunction("""COMPUTED_VALUE"""),677039)</f>
        <v>677039</v>
      </c>
      <c r="AN172" s="77" t="n">
        <f aca="false">IFERROR(__xludf.dummyfunction("""COMPUTED_VALUE"""),998141)</f>
        <v>998141</v>
      </c>
      <c r="AO172" s="77" t="n">
        <f aca="false">IFERROR(__xludf.dummyfunction("""COMPUTED_VALUE"""),3822450)</f>
        <v>3822450</v>
      </c>
      <c r="AP172" s="77" t="n">
        <f aca="false">IFERROR(__xludf.dummyfunction("""COMPUTED_VALUE"""),321312)</f>
        <v>321312</v>
      </c>
      <c r="AQ172" s="77" t="n">
        <f aca="false">IFERROR(__xludf.dummyfunction("""COMPUTED_VALUE"""),1809939)</f>
        <v>1809939</v>
      </c>
      <c r="AR172" s="77" t="n">
        <f aca="false">IFERROR(__xludf.dummyfunction("""COMPUTED_VALUE"""),198220)</f>
        <v>198220</v>
      </c>
      <c r="AS172" s="77" t="n">
        <f aca="false">IFERROR(__xludf.dummyfunction("""COMPUTED_VALUE"""),1101310)</f>
        <v>1101310</v>
      </c>
      <c r="AT172" s="77" t="n">
        <f aca="false">IFERROR(__xludf.dummyfunction("""COMPUTED_VALUE"""),5804867)</f>
        <v>5804867</v>
      </c>
      <c r="AU172" s="77" t="n">
        <f aca="false">IFERROR(__xludf.dummyfunction("""COMPUTED_VALUE"""),353510)</f>
        <v>353510</v>
      </c>
      <c r="AV172" s="77" t="n">
        <f aca="false">IFERROR(__xludf.dummyfunction("""COMPUTED_VALUE"""),82410)</f>
        <v>82410</v>
      </c>
      <c r="AW172" s="77" t="n">
        <f aca="false">IFERROR(__xludf.dummyfunction("""COMPUTED_VALUE"""),2209462)</f>
        <v>2209462</v>
      </c>
      <c r="AX172" s="77" t="n">
        <f aca="false">IFERROR(__xludf.dummyfunction("""COMPUTED_VALUE"""),1141510)</f>
        <v>1141510</v>
      </c>
      <c r="AY172" s="77" t="n">
        <f aca="false">IFERROR(__xludf.dummyfunction("""COMPUTED_VALUE"""),382359)</f>
        <v>382359</v>
      </c>
      <c r="AZ172" s="77" t="n">
        <f aca="false">IFERROR(__xludf.dummyfunction("""COMPUTED_VALUE"""),1282368)</f>
        <v>1282368</v>
      </c>
      <c r="BA172" s="77" t="n">
        <f aca="false">IFERROR(__xludf.dummyfunction("""COMPUTED_VALUE"""),144434)</f>
        <v>144434</v>
      </c>
    </row>
    <row r="173" customFormat="false" ht="15.75" hidden="false" customHeight="false" outlineLevel="0" collapsed="false">
      <c r="B173" s="50"/>
      <c r="C173" s="29"/>
      <c r="D173" s="85"/>
    </row>
    <row r="174" customFormat="false" ht="15.75" hidden="false" customHeight="false" outlineLevel="0" collapsed="false">
      <c r="B174" s="50"/>
      <c r="C174" s="29"/>
      <c r="D174" s="85"/>
    </row>
    <row r="175" customFormat="false" ht="15.75" hidden="false" customHeight="false" outlineLevel="0" collapsed="false">
      <c r="B175" s="50"/>
      <c r="C175" s="29"/>
      <c r="D175" s="85"/>
    </row>
    <row r="176" customFormat="false" ht="15.75" hidden="false" customHeight="false" outlineLevel="0" collapsed="false">
      <c r="B176" s="50"/>
      <c r="C176" s="29"/>
      <c r="D176" s="85"/>
    </row>
    <row r="177" customFormat="false" ht="15.75" hidden="false" customHeight="false" outlineLevel="0" collapsed="false">
      <c r="B177" s="50"/>
      <c r="C177" s="29"/>
      <c r="D177" s="85"/>
    </row>
    <row r="178" customFormat="false" ht="15.75" hidden="false" customHeight="false" outlineLevel="0" collapsed="false">
      <c r="B178" s="50"/>
      <c r="C178" s="29"/>
      <c r="D178" s="85"/>
    </row>
    <row r="179" customFormat="false" ht="15.75" hidden="false" customHeight="false" outlineLevel="0" collapsed="false">
      <c r="B179" s="50"/>
      <c r="C179" s="29"/>
      <c r="D179" s="85"/>
    </row>
    <row r="180" customFormat="false" ht="15.75" hidden="false" customHeight="false" outlineLevel="0" collapsed="false">
      <c r="B180" s="50"/>
      <c r="C180" s="29"/>
      <c r="D180" s="85"/>
    </row>
    <row r="181" customFormat="false" ht="15.75" hidden="false" customHeight="false" outlineLevel="0" collapsed="false">
      <c r="B181" s="50"/>
      <c r="C181" s="29"/>
      <c r="D181" s="85"/>
    </row>
    <row r="182" customFormat="false" ht="15.75" hidden="false" customHeight="false" outlineLevel="0" collapsed="false">
      <c r="B182" s="50"/>
      <c r="C182" s="29"/>
      <c r="D182" s="85"/>
    </row>
    <row r="183" customFormat="false" ht="15.75" hidden="false" customHeight="false" outlineLevel="0" collapsed="false">
      <c r="B183" s="50"/>
      <c r="C183" s="29"/>
      <c r="D183" s="85"/>
    </row>
    <row r="184" customFormat="false" ht="15.75" hidden="false" customHeight="false" outlineLevel="0" collapsed="false">
      <c r="B184" s="50"/>
      <c r="C184" s="29"/>
      <c r="D184" s="85"/>
    </row>
    <row r="185" customFormat="false" ht="15.75" hidden="false" customHeight="false" outlineLevel="0" collapsed="false">
      <c r="B185" s="50"/>
      <c r="C185" s="29"/>
      <c r="D185" s="85"/>
    </row>
    <row r="186" customFormat="false" ht="15.75" hidden="false" customHeight="false" outlineLevel="0" collapsed="false">
      <c r="B186" s="50"/>
      <c r="C186" s="29"/>
      <c r="D186" s="85"/>
    </row>
    <row r="187" customFormat="false" ht="15.75" hidden="false" customHeight="false" outlineLevel="0" collapsed="false">
      <c r="B187" s="50"/>
      <c r="C187" s="29"/>
      <c r="D187" s="85"/>
    </row>
    <row r="188" customFormat="false" ht="15.75" hidden="false" customHeight="false" outlineLevel="0" collapsed="false">
      <c r="B188" s="50"/>
      <c r="C188" s="29"/>
      <c r="D188" s="85"/>
    </row>
    <row r="189" customFormat="false" ht="15.75" hidden="false" customHeight="false" outlineLevel="0" collapsed="false">
      <c r="B189" s="50"/>
      <c r="C189" s="29"/>
      <c r="D189" s="85"/>
    </row>
    <row r="190" customFormat="false" ht="15.75" hidden="false" customHeight="false" outlineLevel="0" collapsed="false">
      <c r="B190" s="50"/>
      <c r="C190" s="29"/>
      <c r="D190" s="85"/>
    </row>
    <row r="191" customFormat="false" ht="15.75" hidden="false" customHeight="false" outlineLevel="0" collapsed="false">
      <c r="B191" s="50"/>
      <c r="C191" s="29"/>
      <c r="D191" s="85"/>
    </row>
    <row r="192" customFormat="false" ht="15.75" hidden="false" customHeight="false" outlineLevel="0" collapsed="false">
      <c r="B192" s="50"/>
      <c r="C192" s="29"/>
      <c r="D192" s="85"/>
    </row>
    <row r="193" customFormat="false" ht="15.75" hidden="false" customHeight="false" outlineLevel="0" collapsed="false">
      <c r="B193" s="50"/>
      <c r="C193" s="29"/>
      <c r="D193" s="85"/>
    </row>
    <row r="194" customFormat="false" ht="15.75" hidden="false" customHeight="false" outlineLevel="0" collapsed="false">
      <c r="B194" s="50"/>
      <c r="C194" s="29"/>
      <c r="D194" s="85"/>
    </row>
    <row r="195" customFormat="false" ht="15.75" hidden="false" customHeight="false" outlineLevel="0" collapsed="false">
      <c r="B195" s="50"/>
      <c r="C195" s="29"/>
      <c r="D195" s="85"/>
    </row>
    <row r="196" customFormat="false" ht="15.75" hidden="false" customHeight="false" outlineLevel="0" collapsed="false">
      <c r="B196" s="50"/>
      <c r="C196" s="29"/>
      <c r="D196" s="85"/>
    </row>
    <row r="197" customFormat="false" ht="15.75" hidden="false" customHeight="false" outlineLevel="0" collapsed="false">
      <c r="B197" s="50"/>
      <c r="C197" s="29"/>
      <c r="D197" s="85"/>
    </row>
    <row r="198" customFormat="false" ht="15.75" hidden="false" customHeight="false" outlineLevel="0" collapsed="false">
      <c r="B198" s="50"/>
      <c r="C198" s="29"/>
      <c r="D198" s="85"/>
    </row>
    <row r="199" customFormat="false" ht="15.75" hidden="false" customHeight="false" outlineLevel="0" collapsed="false">
      <c r="B199" s="50"/>
      <c r="C199" s="29"/>
      <c r="D199" s="85"/>
    </row>
    <row r="200" customFormat="false" ht="15.75" hidden="false" customHeight="false" outlineLevel="0" collapsed="false">
      <c r="B200" s="50"/>
      <c r="C200" s="29"/>
      <c r="D200" s="85"/>
    </row>
    <row r="201" customFormat="false" ht="15.75" hidden="false" customHeight="false" outlineLevel="0" collapsed="false">
      <c r="B201" s="50"/>
      <c r="C201" s="29"/>
      <c r="D201" s="85"/>
    </row>
    <row r="202" customFormat="false" ht="15.75" hidden="false" customHeight="false" outlineLevel="0" collapsed="false">
      <c r="B202" s="50"/>
      <c r="C202" s="29"/>
      <c r="D202" s="85"/>
    </row>
    <row r="203" customFormat="false" ht="15.75" hidden="false" customHeight="false" outlineLevel="0" collapsed="false">
      <c r="B203" s="50"/>
      <c r="C203" s="29"/>
      <c r="D203" s="85"/>
    </row>
    <row r="204" customFormat="false" ht="15.75" hidden="false" customHeight="false" outlineLevel="0" collapsed="false">
      <c r="B204" s="50"/>
      <c r="C204" s="29"/>
      <c r="D204" s="85"/>
    </row>
    <row r="205" customFormat="false" ht="15.75" hidden="false" customHeight="false" outlineLevel="0" collapsed="false">
      <c r="B205" s="50"/>
      <c r="C205" s="29"/>
      <c r="D205" s="85"/>
    </row>
    <row r="206" customFormat="false" ht="15.75" hidden="false" customHeight="false" outlineLevel="0" collapsed="false">
      <c r="B206" s="50"/>
      <c r="C206" s="29"/>
      <c r="D206" s="85"/>
    </row>
    <row r="207" customFormat="false" ht="15.75" hidden="false" customHeight="false" outlineLevel="0" collapsed="false">
      <c r="B207" s="50"/>
      <c r="C207" s="29"/>
      <c r="D207" s="85"/>
    </row>
    <row r="208" customFormat="false" ht="15.75" hidden="false" customHeight="false" outlineLevel="0" collapsed="false">
      <c r="B208" s="50"/>
      <c r="C208" s="29"/>
      <c r="D208" s="85"/>
    </row>
    <row r="209" customFormat="false" ht="15.75" hidden="false" customHeight="false" outlineLevel="0" collapsed="false">
      <c r="B209" s="50"/>
      <c r="C209" s="29"/>
      <c r="D209" s="85"/>
    </row>
    <row r="210" customFormat="false" ht="15.75" hidden="false" customHeight="false" outlineLevel="0" collapsed="false">
      <c r="B210" s="50"/>
      <c r="C210" s="29"/>
      <c r="D210" s="85"/>
    </row>
    <row r="211" customFormat="false" ht="15.75" hidden="false" customHeight="false" outlineLevel="0" collapsed="false">
      <c r="B211" s="50"/>
      <c r="C211" s="29"/>
      <c r="D211" s="85"/>
    </row>
    <row r="212" customFormat="false" ht="15.75" hidden="false" customHeight="false" outlineLevel="0" collapsed="false">
      <c r="B212" s="50"/>
      <c r="C212" s="29"/>
      <c r="D212" s="85"/>
    </row>
    <row r="213" customFormat="false" ht="15.75" hidden="false" customHeight="false" outlineLevel="0" collapsed="false">
      <c r="B213" s="50"/>
      <c r="C213" s="29"/>
      <c r="D213" s="85"/>
    </row>
    <row r="214" customFormat="false" ht="15.75" hidden="false" customHeight="false" outlineLevel="0" collapsed="false">
      <c r="B214" s="50"/>
      <c r="C214" s="29"/>
      <c r="D214" s="85"/>
    </row>
    <row r="215" customFormat="false" ht="15.75" hidden="false" customHeight="false" outlineLevel="0" collapsed="false">
      <c r="B215" s="50"/>
      <c r="C215" s="29"/>
      <c r="D215" s="85"/>
    </row>
    <row r="216" customFormat="false" ht="15.75" hidden="false" customHeight="false" outlineLevel="0" collapsed="false">
      <c r="B216" s="50"/>
      <c r="C216" s="29"/>
      <c r="D216" s="85"/>
    </row>
    <row r="217" customFormat="false" ht="15.75" hidden="false" customHeight="false" outlineLevel="0" collapsed="false">
      <c r="B217" s="50"/>
      <c r="C217" s="29"/>
      <c r="D217" s="85"/>
    </row>
    <row r="218" customFormat="false" ht="15.75" hidden="false" customHeight="false" outlineLevel="0" collapsed="false">
      <c r="B218" s="50"/>
      <c r="C218" s="29"/>
      <c r="D218" s="85"/>
    </row>
    <row r="219" customFormat="false" ht="15.75" hidden="false" customHeight="false" outlineLevel="0" collapsed="false">
      <c r="B219" s="50"/>
      <c r="C219" s="29"/>
      <c r="D219" s="85"/>
    </row>
    <row r="220" customFormat="false" ht="15.75" hidden="false" customHeight="false" outlineLevel="0" collapsed="false">
      <c r="B220" s="50"/>
      <c r="C220" s="29"/>
      <c r="D220" s="85"/>
    </row>
    <row r="221" customFormat="false" ht="15.75" hidden="false" customHeight="false" outlineLevel="0" collapsed="false">
      <c r="B221" s="50"/>
      <c r="C221" s="29"/>
      <c r="D221" s="85"/>
    </row>
    <row r="222" customFormat="false" ht="15.75" hidden="false" customHeight="false" outlineLevel="0" collapsed="false">
      <c r="B222" s="50"/>
      <c r="C222" s="29"/>
      <c r="D222" s="85"/>
    </row>
    <row r="223" customFormat="false" ht="15.75" hidden="false" customHeight="false" outlineLevel="0" collapsed="false">
      <c r="B223" s="50"/>
      <c r="C223" s="29"/>
      <c r="D223" s="85"/>
    </row>
    <row r="224" customFormat="false" ht="15.75" hidden="false" customHeight="false" outlineLevel="0" collapsed="false">
      <c r="B224" s="50"/>
      <c r="C224" s="29"/>
      <c r="D224" s="85"/>
    </row>
    <row r="225" customFormat="false" ht="15.75" hidden="false" customHeight="false" outlineLevel="0" collapsed="false">
      <c r="B225" s="50"/>
      <c r="C225" s="29"/>
      <c r="D225" s="85"/>
    </row>
    <row r="226" customFormat="false" ht="15.75" hidden="false" customHeight="false" outlineLevel="0" collapsed="false">
      <c r="B226" s="50"/>
      <c r="C226" s="29"/>
      <c r="D226" s="85"/>
    </row>
    <row r="227" customFormat="false" ht="15.75" hidden="false" customHeight="false" outlineLevel="0" collapsed="false">
      <c r="B227" s="50"/>
      <c r="C227" s="29"/>
      <c r="D227" s="85"/>
    </row>
    <row r="228" customFormat="false" ht="15.75" hidden="false" customHeight="false" outlineLevel="0" collapsed="false">
      <c r="B228" s="50"/>
      <c r="C228" s="29"/>
      <c r="D228" s="85"/>
    </row>
    <row r="229" customFormat="false" ht="15.75" hidden="false" customHeight="false" outlineLevel="0" collapsed="false">
      <c r="B229" s="50"/>
      <c r="C229" s="29"/>
      <c r="D229" s="85"/>
    </row>
    <row r="230" customFormat="false" ht="15.75" hidden="false" customHeight="false" outlineLevel="0" collapsed="false">
      <c r="B230" s="50"/>
      <c r="C230" s="29"/>
      <c r="D230" s="85"/>
    </row>
    <row r="231" customFormat="false" ht="15.75" hidden="false" customHeight="false" outlineLevel="0" collapsed="false">
      <c r="B231" s="50"/>
      <c r="C231" s="29"/>
      <c r="D231" s="85"/>
    </row>
    <row r="232" customFormat="false" ht="15.75" hidden="false" customHeight="false" outlineLevel="0" collapsed="false">
      <c r="B232" s="50"/>
      <c r="C232" s="29"/>
      <c r="D232" s="85"/>
    </row>
    <row r="233" customFormat="false" ht="15.75" hidden="false" customHeight="false" outlineLevel="0" collapsed="false">
      <c r="B233" s="50"/>
      <c r="C233" s="29"/>
      <c r="D233" s="85"/>
    </row>
    <row r="234" customFormat="false" ht="15.75" hidden="false" customHeight="false" outlineLevel="0" collapsed="false">
      <c r="B234" s="50"/>
      <c r="C234" s="29"/>
      <c r="D234" s="85"/>
    </row>
    <row r="235" customFormat="false" ht="15.75" hidden="false" customHeight="false" outlineLevel="0" collapsed="false">
      <c r="B235" s="50"/>
      <c r="C235" s="29"/>
      <c r="D235" s="85"/>
    </row>
    <row r="236" customFormat="false" ht="15.75" hidden="false" customHeight="false" outlineLevel="0" collapsed="false">
      <c r="B236" s="50"/>
      <c r="C236" s="29"/>
      <c r="D236" s="85"/>
    </row>
    <row r="237" customFormat="false" ht="15.75" hidden="false" customHeight="false" outlineLevel="0" collapsed="false">
      <c r="B237" s="50"/>
      <c r="C237" s="29"/>
      <c r="D237" s="85"/>
    </row>
    <row r="238" customFormat="false" ht="15.75" hidden="false" customHeight="false" outlineLevel="0" collapsed="false">
      <c r="B238" s="50"/>
      <c r="C238" s="29"/>
      <c r="D238" s="85"/>
    </row>
    <row r="239" customFormat="false" ht="15.75" hidden="false" customHeight="false" outlineLevel="0" collapsed="false">
      <c r="B239" s="50"/>
      <c r="C239" s="29"/>
      <c r="D239" s="85"/>
    </row>
    <row r="240" customFormat="false" ht="15.75" hidden="false" customHeight="false" outlineLevel="0" collapsed="false">
      <c r="B240" s="50"/>
      <c r="C240" s="29"/>
      <c r="D240" s="85"/>
    </row>
    <row r="241" customFormat="false" ht="15.75" hidden="false" customHeight="false" outlineLevel="0" collapsed="false">
      <c r="B241" s="50"/>
      <c r="C241" s="29"/>
      <c r="D241" s="85"/>
    </row>
    <row r="242" customFormat="false" ht="15.75" hidden="false" customHeight="false" outlineLevel="0" collapsed="false">
      <c r="B242" s="50"/>
      <c r="C242" s="29"/>
      <c r="D242" s="85"/>
    </row>
    <row r="243" customFormat="false" ht="15.75" hidden="false" customHeight="false" outlineLevel="0" collapsed="false">
      <c r="B243" s="50"/>
      <c r="C243" s="29"/>
      <c r="D243" s="85"/>
    </row>
    <row r="244" customFormat="false" ht="15.75" hidden="false" customHeight="false" outlineLevel="0" collapsed="false">
      <c r="B244" s="50"/>
      <c r="C244" s="29"/>
      <c r="D244" s="85"/>
    </row>
    <row r="245" customFormat="false" ht="15.75" hidden="false" customHeight="false" outlineLevel="0" collapsed="false">
      <c r="B245" s="50"/>
      <c r="C245" s="29"/>
      <c r="D245" s="85"/>
    </row>
    <row r="246" customFormat="false" ht="15.75" hidden="false" customHeight="false" outlineLevel="0" collapsed="false">
      <c r="B246" s="50"/>
      <c r="C246" s="29"/>
      <c r="D246" s="85"/>
    </row>
    <row r="247" customFormat="false" ht="15.75" hidden="false" customHeight="false" outlineLevel="0" collapsed="false">
      <c r="B247" s="50"/>
      <c r="C247" s="29"/>
      <c r="D247" s="85"/>
    </row>
    <row r="248" customFormat="false" ht="15.75" hidden="false" customHeight="false" outlineLevel="0" collapsed="false">
      <c r="B248" s="50"/>
      <c r="C248" s="29"/>
      <c r="D248" s="85"/>
    </row>
    <row r="249" customFormat="false" ht="15.75" hidden="false" customHeight="false" outlineLevel="0" collapsed="false">
      <c r="B249" s="50"/>
      <c r="C249" s="29"/>
      <c r="D249" s="85"/>
    </row>
    <row r="250" customFormat="false" ht="15.75" hidden="false" customHeight="false" outlineLevel="0" collapsed="false">
      <c r="B250" s="50"/>
      <c r="C250" s="29"/>
      <c r="D250" s="85"/>
    </row>
    <row r="251" customFormat="false" ht="15.75" hidden="false" customHeight="false" outlineLevel="0" collapsed="false">
      <c r="B251" s="50"/>
      <c r="C251" s="29"/>
      <c r="D251" s="85"/>
    </row>
    <row r="252" customFormat="false" ht="15.75" hidden="false" customHeight="false" outlineLevel="0" collapsed="false">
      <c r="B252" s="50"/>
      <c r="C252" s="29"/>
      <c r="D252" s="85"/>
    </row>
    <row r="253" customFormat="false" ht="15.75" hidden="false" customHeight="false" outlineLevel="0" collapsed="false">
      <c r="B253" s="50"/>
      <c r="C253" s="29"/>
      <c r="D253" s="85"/>
    </row>
    <row r="254" customFormat="false" ht="15.75" hidden="false" customHeight="false" outlineLevel="0" collapsed="false">
      <c r="B254" s="50"/>
      <c r="C254" s="29"/>
      <c r="D254" s="85"/>
    </row>
    <row r="255" customFormat="false" ht="15.75" hidden="false" customHeight="false" outlineLevel="0" collapsed="false">
      <c r="B255" s="50"/>
      <c r="C255" s="29"/>
      <c r="D255" s="85"/>
    </row>
    <row r="256" customFormat="false" ht="15.75" hidden="false" customHeight="false" outlineLevel="0" collapsed="false">
      <c r="B256" s="50"/>
      <c r="C256" s="29"/>
      <c r="D256" s="85"/>
    </row>
    <row r="257" customFormat="false" ht="15.75" hidden="false" customHeight="false" outlineLevel="0" collapsed="false">
      <c r="B257" s="50"/>
      <c r="C257" s="29"/>
      <c r="D257" s="85"/>
    </row>
    <row r="258" customFormat="false" ht="15.75" hidden="false" customHeight="false" outlineLevel="0" collapsed="false">
      <c r="B258" s="50"/>
      <c r="C258" s="29"/>
      <c r="D258" s="85"/>
    </row>
    <row r="259" customFormat="false" ht="15.75" hidden="false" customHeight="false" outlineLevel="0" collapsed="false">
      <c r="B259" s="50"/>
      <c r="C259" s="29"/>
      <c r="D259" s="85"/>
    </row>
    <row r="260" customFormat="false" ht="15.75" hidden="false" customHeight="false" outlineLevel="0" collapsed="false">
      <c r="B260" s="50"/>
      <c r="C260" s="29"/>
      <c r="D260" s="85"/>
    </row>
    <row r="261" customFormat="false" ht="15.75" hidden="false" customHeight="false" outlineLevel="0" collapsed="false">
      <c r="B261" s="50"/>
      <c r="C261" s="29"/>
      <c r="D261" s="85"/>
    </row>
    <row r="262" customFormat="false" ht="15.75" hidden="false" customHeight="false" outlineLevel="0" collapsed="false">
      <c r="B262" s="50"/>
      <c r="C262" s="29"/>
      <c r="D262" s="85"/>
    </row>
    <row r="263" customFormat="false" ht="15.75" hidden="false" customHeight="false" outlineLevel="0" collapsed="false">
      <c r="B263" s="50"/>
      <c r="C263" s="29"/>
      <c r="D263" s="85"/>
    </row>
    <row r="264" customFormat="false" ht="15.75" hidden="false" customHeight="false" outlineLevel="0" collapsed="false">
      <c r="B264" s="50"/>
      <c r="C264" s="29"/>
      <c r="D264" s="85"/>
    </row>
    <row r="265" customFormat="false" ht="15.75" hidden="false" customHeight="false" outlineLevel="0" collapsed="false">
      <c r="B265" s="50"/>
      <c r="C265" s="29"/>
      <c r="D265" s="85"/>
    </row>
    <row r="266" customFormat="false" ht="15.75" hidden="false" customHeight="false" outlineLevel="0" collapsed="false">
      <c r="B266" s="50"/>
      <c r="C266" s="29"/>
      <c r="D266" s="85"/>
    </row>
    <row r="267" customFormat="false" ht="15.75" hidden="false" customHeight="false" outlineLevel="0" collapsed="false">
      <c r="B267" s="50"/>
      <c r="C267" s="29"/>
      <c r="D267" s="85"/>
    </row>
    <row r="268" customFormat="false" ht="15.75" hidden="false" customHeight="false" outlineLevel="0" collapsed="false">
      <c r="B268" s="50"/>
      <c r="C268" s="29"/>
      <c r="D268" s="85"/>
    </row>
    <row r="269" customFormat="false" ht="15.75" hidden="false" customHeight="false" outlineLevel="0" collapsed="false">
      <c r="B269" s="50"/>
      <c r="C269" s="29"/>
      <c r="D269" s="85"/>
    </row>
    <row r="270" customFormat="false" ht="15.75" hidden="false" customHeight="false" outlineLevel="0" collapsed="false">
      <c r="B270" s="50"/>
      <c r="C270" s="29"/>
      <c r="D270" s="85"/>
    </row>
    <row r="271" customFormat="false" ht="15.75" hidden="false" customHeight="false" outlineLevel="0" collapsed="false">
      <c r="B271" s="50"/>
      <c r="C271" s="29"/>
      <c r="D271" s="85"/>
    </row>
    <row r="272" customFormat="false" ht="15.75" hidden="false" customHeight="false" outlineLevel="0" collapsed="false">
      <c r="B272" s="50"/>
      <c r="C272" s="29"/>
      <c r="D272" s="85"/>
    </row>
    <row r="273" customFormat="false" ht="15.75" hidden="false" customHeight="false" outlineLevel="0" collapsed="false">
      <c r="B273" s="50"/>
      <c r="C273" s="29"/>
      <c r="D273" s="85"/>
    </row>
    <row r="274" customFormat="false" ht="15.75" hidden="false" customHeight="false" outlineLevel="0" collapsed="false">
      <c r="B274" s="50"/>
      <c r="C274" s="29"/>
      <c r="D274" s="85"/>
    </row>
    <row r="275" customFormat="false" ht="15.75" hidden="false" customHeight="false" outlineLevel="0" collapsed="false">
      <c r="B275" s="50"/>
      <c r="C275" s="29"/>
      <c r="D275" s="85"/>
    </row>
    <row r="276" customFormat="false" ht="15.75" hidden="false" customHeight="false" outlineLevel="0" collapsed="false">
      <c r="B276" s="50"/>
      <c r="C276" s="29"/>
      <c r="D276" s="85"/>
    </row>
    <row r="277" customFormat="false" ht="15.75" hidden="false" customHeight="false" outlineLevel="0" collapsed="false">
      <c r="B277" s="50"/>
      <c r="C277" s="29"/>
      <c r="D277" s="85"/>
    </row>
    <row r="278" customFormat="false" ht="15.75" hidden="false" customHeight="false" outlineLevel="0" collapsed="false">
      <c r="B278" s="50"/>
      <c r="C278" s="29"/>
      <c r="D278" s="85"/>
    </row>
    <row r="279" customFormat="false" ht="15.75" hidden="false" customHeight="false" outlineLevel="0" collapsed="false">
      <c r="B279" s="50"/>
      <c r="C279" s="29"/>
      <c r="D279" s="85"/>
    </row>
    <row r="280" customFormat="false" ht="15.75" hidden="false" customHeight="false" outlineLevel="0" collapsed="false">
      <c r="B280" s="50"/>
      <c r="C280" s="29"/>
      <c r="D280" s="85"/>
    </row>
    <row r="281" customFormat="false" ht="15.75" hidden="false" customHeight="false" outlineLevel="0" collapsed="false">
      <c r="B281" s="50"/>
      <c r="C281" s="29"/>
      <c r="D281" s="85"/>
    </row>
    <row r="282" customFormat="false" ht="15.75" hidden="false" customHeight="false" outlineLevel="0" collapsed="false">
      <c r="B282" s="50"/>
      <c r="C282" s="29"/>
      <c r="D282" s="85"/>
    </row>
    <row r="283" customFormat="false" ht="15.75" hidden="false" customHeight="false" outlineLevel="0" collapsed="false">
      <c r="B283" s="50"/>
      <c r="C283" s="29"/>
      <c r="D283" s="85"/>
    </row>
    <row r="284" customFormat="false" ht="15.75" hidden="false" customHeight="false" outlineLevel="0" collapsed="false">
      <c r="B284" s="50"/>
      <c r="C284" s="29"/>
      <c r="D284" s="85"/>
    </row>
    <row r="285" customFormat="false" ht="15.75" hidden="false" customHeight="false" outlineLevel="0" collapsed="false">
      <c r="B285" s="50"/>
      <c r="C285" s="29"/>
      <c r="D285" s="85"/>
    </row>
    <row r="286" customFormat="false" ht="15.75" hidden="false" customHeight="false" outlineLevel="0" collapsed="false">
      <c r="B286" s="50"/>
      <c r="C286" s="29"/>
      <c r="D286" s="85"/>
    </row>
    <row r="287" customFormat="false" ht="15.75" hidden="false" customHeight="false" outlineLevel="0" collapsed="false">
      <c r="B287" s="50"/>
      <c r="C287" s="29"/>
      <c r="D287" s="85"/>
    </row>
    <row r="288" customFormat="false" ht="15.75" hidden="false" customHeight="false" outlineLevel="0" collapsed="false">
      <c r="B288" s="50"/>
      <c r="C288" s="29"/>
      <c r="D288" s="85"/>
    </row>
    <row r="289" customFormat="false" ht="15.75" hidden="false" customHeight="false" outlineLevel="0" collapsed="false">
      <c r="B289" s="50"/>
      <c r="C289" s="29"/>
      <c r="D289" s="85"/>
    </row>
    <row r="290" customFormat="false" ht="15.75" hidden="false" customHeight="false" outlineLevel="0" collapsed="false">
      <c r="B290" s="50"/>
      <c r="C290" s="29"/>
      <c r="D290" s="85"/>
    </row>
    <row r="291" customFormat="false" ht="15.75" hidden="false" customHeight="false" outlineLevel="0" collapsed="false">
      <c r="B291" s="50"/>
      <c r="C291" s="29"/>
      <c r="D291" s="85"/>
    </row>
    <row r="292" customFormat="false" ht="15.75" hidden="false" customHeight="false" outlineLevel="0" collapsed="false">
      <c r="B292" s="50"/>
      <c r="C292" s="29"/>
      <c r="D292" s="85"/>
    </row>
    <row r="293" customFormat="false" ht="15.75" hidden="false" customHeight="false" outlineLevel="0" collapsed="false">
      <c r="B293" s="50"/>
      <c r="C293" s="29"/>
      <c r="D293" s="85"/>
    </row>
    <row r="294" customFormat="false" ht="15.75" hidden="false" customHeight="false" outlineLevel="0" collapsed="false">
      <c r="B294" s="50"/>
      <c r="C294" s="29"/>
      <c r="D294" s="85"/>
    </row>
    <row r="295" customFormat="false" ht="15.75" hidden="false" customHeight="false" outlineLevel="0" collapsed="false">
      <c r="B295" s="50"/>
      <c r="C295" s="29"/>
      <c r="D295" s="85"/>
    </row>
    <row r="296" customFormat="false" ht="15.75" hidden="false" customHeight="false" outlineLevel="0" collapsed="false">
      <c r="B296" s="50"/>
      <c r="C296" s="29"/>
      <c r="D296" s="85"/>
    </row>
    <row r="297" customFormat="false" ht="15.75" hidden="false" customHeight="false" outlineLevel="0" collapsed="false">
      <c r="B297" s="50"/>
      <c r="C297" s="29"/>
      <c r="D297" s="85"/>
    </row>
    <row r="298" customFormat="false" ht="15.75" hidden="false" customHeight="false" outlineLevel="0" collapsed="false">
      <c r="B298" s="50"/>
      <c r="C298" s="29"/>
      <c r="D298" s="85"/>
    </row>
    <row r="299" customFormat="false" ht="15.75" hidden="false" customHeight="false" outlineLevel="0" collapsed="false">
      <c r="B299" s="50"/>
      <c r="C299" s="29"/>
      <c r="D299" s="85"/>
    </row>
    <row r="300" customFormat="false" ht="15.75" hidden="false" customHeight="false" outlineLevel="0" collapsed="false">
      <c r="B300" s="50"/>
      <c r="C300" s="29"/>
      <c r="D300" s="85"/>
    </row>
    <row r="301" customFormat="false" ht="15.75" hidden="false" customHeight="false" outlineLevel="0" collapsed="false">
      <c r="B301" s="50"/>
      <c r="C301" s="29"/>
      <c r="D301" s="85"/>
    </row>
    <row r="302" customFormat="false" ht="15.75" hidden="false" customHeight="false" outlineLevel="0" collapsed="false">
      <c r="B302" s="50"/>
      <c r="C302" s="29"/>
      <c r="D302" s="85"/>
    </row>
    <row r="303" customFormat="false" ht="15.75" hidden="false" customHeight="false" outlineLevel="0" collapsed="false">
      <c r="B303" s="50"/>
      <c r="C303" s="29"/>
      <c r="D303" s="85"/>
    </row>
    <row r="304" customFormat="false" ht="15.75" hidden="false" customHeight="false" outlineLevel="0" collapsed="false">
      <c r="B304" s="50"/>
      <c r="C304" s="29"/>
      <c r="D304" s="85"/>
    </row>
    <row r="305" customFormat="false" ht="15.75" hidden="false" customHeight="false" outlineLevel="0" collapsed="false">
      <c r="B305" s="50"/>
      <c r="C305" s="29"/>
      <c r="D305" s="85"/>
    </row>
    <row r="306" customFormat="false" ht="15.75" hidden="false" customHeight="false" outlineLevel="0" collapsed="false">
      <c r="B306" s="50"/>
      <c r="C306" s="29"/>
      <c r="D306" s="85"/>
    </row>
    <row r="307" customFormat="false" ht="15.75" hidden="false" customHeight="false" outlineLevel="0" collapsed="false">
      <c r="B307" s="50"/>
      <c r="C307" s="29"/>
      <c r="D307" s="85"/>
    </row>
    <row r="308" customFormat="false" ht="15.75" hidden="false" customHeight="false" outlineLevel="0" collapsed="false">
      <c r="B308" s="50"/>
      <c r="C308" s="29"/>
      <c r="D308" s="85"/>
    </row>
    <row r="309" customFormat="false" ht="15.75" hidden="false" customHeight="false" outlineLevel="0" collapsed="false">
      <c r="B309" s="50"/>
      <c r="C309" s="29"/>
      <c r="D309" s="85"/>
    </row>
    <row r="310" customFormat="false" ht="15.75" hidden="false" customHeight="false" outlineLevel="0" collapsed="false">
      <c r="B310" s="50"/>
      <c r="C310" s="29"/>
      <c r="D310" s="85"/>
    </row>
    <row r="311" customFormat="false" ht="15.75" hidden="false" customHeight="false" outlineLevel="0" collapsed="false">
      <c r="B311" s="50"/>
      <c r="C311" s="29"/>
      <c r="D311" s="85"/>
    </row>
    <row r="312" customFormat="false" ht="15.75" hidden="false" customHeight="false" outlineLevel="0" collapsed="false">
      <c r="B312" s="50"/>
      <c r="C312" s="29"/>
      <c r="D312" s="85"/>
    </row>
    <row r="313" customFormat="false" ht="15.75" hidden="false" customHeight="false" outlineLevel="0" collapsed="false">
      <c r="B313" s="50"/>
      <c r="C313" s="29"/>
      <c r="D313" s="85"/>
    </row>
    <row r="314" customFormat="false" ht="15.75" hidden="false" customHeight="false" outlineLevel="0" collapsed="false">
      <c r="B314" s="50"/>
      <c r="C314" s="29"/>
      <c r="D314" s="85"/>
    </row>
    <row r="315" customFormat="false" ht="15.75" hidden="false" customHeight="false" outlineLevel="0" collapsed="false">
      <c r="B315" s="50"/>
      <c r="C315" s="29"/>
      <c r="D315" s="85"/>
    </row>
    <row r="316" customFormat="false" ht="15.75" hidden="false" customHeight="false" outlineLevel="0" collapsed="false">
      <c r="B316" s="50"/>
      <c r="C316" s="29"/>
      <c r="D316" s="85"/>
    </row>
    <row r="317" customFormat="false" ht="15.75" hidden="false" customHeight="false" outlineLevel="0" collapsed="false">
      <c r="B317" s="50"/>
      <c r="C317" s="29"/>
      <c r="D317" s="85"/>
    </row>
    <row r="318" customFormat="false" ht="15.75" hidden="false" customHeight="false" outlineLevel="0" collapsed="false">
      <c r="B318" s="50"/>
      <c r="C318" s="29"/>
      <c r="D318" s="85"/>
    </row>
    <row r="319" customFormat="false" ht="15.75" hidden="false" customHeight="false" outlineLevel="0" collapsed="false">
      <c r="B319" s="50"/>
      <c r="C319" s="29"/>
      <c r="D319" s="85"/>
    </row>
    <row r="320" customFormat="false" ht="15.75" hidden="false" customHeight="false" outlineLevel="0" collapsed="false">
      <c r="B320" s="50"/>
      <c r="C320" s="29"/>
      <c r="D320" s="85"/>
    </row>
    <row r="321" customFormat="false" ht="15.75" hidden="false" customHeight="false" outlineLevel="0" collapsed="false">
      <c r="B321" s="50"/>
      <c r="C321" s="29"/>
      <c r="D321" s="85"/>
    </row>
    <row r="322" customFormat="false" ht="15.75" hidden="false" customHeight="false" outlineLevel="0" collapsed="false">
      <c r="B322" s="50"/>
      <c r="C322" s="29"/>
      <c r="D322" s="85"/>
    </row>
    <row r="323" customFormat="false" ht="15.75" hidden="false" customHeight="false" outlineLevel="0" collapsed="false">
      <c r="B323" s="50"/>
      <c r="C323" s="29"/>
      <c r="D323" s="85"/>
    </row>
    <row r="324" customFormat="false" ht="15.75" hidden="false" customHeight="false" outlineLevel="0" collapsed="false">
      <c r="B324" s="50"/>
      <c r="C324" s="29"/>
      <c r="D324" s="85"/>
    </row>
    <row r="325" customFormat="false" ht="15.75" hidden="false" customHeight="false" outlineLevel="0" collapsed="false">
      <c r="B325" s="50"/>
      <c r="C325" s="29"/>
      <c r="D325" s="85"/>
    </row>
    <row r="326" customFormat="false" ht="15.75" hidden="false" customHeight="false" outlineLevel="0" collapsed="false">
      <c r="B326" s="50"/>
      <c r="C326" s="29"/>
      <c r="D326" s="85"/>
    </row>
    <row r="327" customFormat="false" ht="15.75" hidden="false" customHeight="false" outlineLevel="0" collapsed="false">
      <c r="B327" s="50"/>
      <c r="C327" s="29"/>
      <c r="D327" s="85"/>
    </row>
    <row r="328" customFormat="false" ht="15.75" hidden="false" customHeight="false" outlineLevel="0" collapsed="false">
      <c r="B328" s="50"/>
      <c r="C328" s="29"/>
      <c r="D328" s="85"/>
    </row>
    <row r="329" customFormat="false" ht="15.75" hidden="false" customHeight="false" outlineLevel="0" collapsed="false">
      <c r="B329" s="50"/>
      <c r="C329" s="29"/>
      <c r="D329" s="85"/>
    </row>
    <row r="330" customFormat="false" ht="15.75" hidden="false" customHeight="false" outlineLevel="0" collapsed="false">
      <c r="B330" s="50"/>
      <c r="C330" s="29"/>
      <c r="D330" s="85"/>
    </row>
    <row r="331" customFormat="false" ht="15.75" hidden="false" customHeight="false" outlineLevel="0" collapsed="false">
      <c r="B331" s="50"/>
      <c r="C331" s="29"/>
      <c r="D331" s="85"/>
    </row>
    <row r="332" customFormat="false" ht="15.75" hidden="false" customHeight="false" outlineLevel="0" collapsed="false">
      <c r="B332" s="50"/>
      <c r="C332" s="29"/>
      <c r="D332" s="85"/>
    </row>
    <row r="333" customFormat="false" ht="15.75" hidden="false" customHeight="false" outlineLevel="0" collapsed="false">
      <c r="B333" s="50"/>
      <c r="C333" s="29"/>
      <c r="D333" s="85"/>
    </row>
    <row r="334" customFormat="false" ht="15.75" hidden="false" customHeight="false" outlineLevel="0" collapsed="false">
      <c r="B334" s="50"/>
      <c r="C334" s="29"/>
      <c r="D334" s="85"/>
    </row>
    <row r="335" customFormat="false" ht="15.75" hidden="false" customHeight="false" outlineLevel="0" collapsed="false">
      <c r="B335" s="50"/>
      <c r="C335" s="29"/>
      <c r="D335" s="85"/>
    </row>
    <row r="336" customFormat="false" ht="15.75" hidden="false" customHeight="false" outlineLevel="0" collapsed="false">
      <c r="B336" s="50"/>
      <c r="C336" s="29"/>
      <c r="D336" s="85"/>
    </row>
    <row r="337" customFormat="false" ht="15.75" hidden="false" customHeight="false" outlineLevel="0" collapsed="false">
      <c r="B337" s="50"/>
      <c r="C337" s="29"/>
      <c r="D337" s="85"/>
    </row>
    <row r="338" customFormat="false" ht="15.75" hidden="false" customHeight="false" outlineLevel="0" collapsed="false">
      <c r="B338" s="50"/>
      <c r="C338" s="29"/>
      <c r="D338" s="85"/>
    </row>
    <row r="339" customFormat="false" ht="15.75" hidden="false" customHeight="false" outlineLevel="0" collapsed="false">
      <c r="B339" s="50"/>
      <c r="C339" s="29"/>
      <c r="D339" s="85"/>
    </row>
    <row r="340" customFormat="false" ht="15.75" hidden="false" customHeight="false" outlineLevel="0" collapsed="false">
      <c r="B340" s="50"/>
      <c r="C340" s="29"/>
      <c r="D340" s="85"/>
    </row>
    <row r="341" customFormat="false" ht="15.75" hidden="false" customHeight="false" outlineLevel="0" collapsed="false">
      <c r="B341" s="50"/>
      <c r="C341" s="29"/>
      <c r="D341" s="85"/>
    </row>
    <row r="342" customFormat="false" ht="15.75" hidden="false" customHeight="false" outlineLevel="0" collapsed="false">
      <c r="B342" s="50"/>
      <c r="C342" s="29"/>
      <c r="D342" s="85"/>
    </row>
    <row r="343" customFormat="false" ht="15.75" hidden="false" customHeight="false" outlineLevel="0" collapsed="false">
      <c r="B343" s="50"/>
      <c r="C343" s="29"/>
      <c r="D343" s="85"/>
    </row>
    <row r="344" customFormat="false" ht="15.75" hidden="false" customHeight="false" outlineLevel="0" collapsed="false">
      <c r="B344" s="50"/>
      <c r="C344" s="29"/>
      <c r="D344" s="85"/>
    </row>
    <row r="345" customFormat="false" ht="15.75" hidden="false" customHeight="false" outlineLevel="0" collapsed="false">
      <c r="B345" s="50"/>
      <c r="C345" s="29"/>
      <c r="D345" s="85"/>
    </row>
    <row r="346" customFormat="false" ht="15.75" hidden="false" customHeight="false" outlineLevel="0" collapsed="false">
      <c r="B346" s="50"/>
      <c r="C346" s="29"/>
      <c r="D346" s="85"/>
    </row>
    <row r="347" customFormat="false" ht="15.75" hidden="false" customHeight="false" outlineLevel="0" collapsed="false">
      <c r="B347" s="50"/>
      <c r="C347" s="29"/>
      <c r="D347" s="85"/>
    </row>
    <row r="348" customFormat="false" ht="15.75" hidden="false" customHeight="false" outlineLevel="0" collapsed="false">
      <c r="B348" s="50"/>
      <c r="C348" s="29"/>
      <c r="D348" s="85"/>
    </row>
    <row r="349" customFormat="false" ht="15.75" hidden="false" customHeight="false" outlineLevel="0" collapsed="false">
      <c r="B349" s="50"/>
      <c r="C349" s="29"/>
      <c r="D349" s="85"/>
    </row>
    <row r="350" customFormat="false" ht="15.75" hidden="false" customHeight="false" outlineLevel="0" collapsed="false">
      <c r="B350" s="50"/>
      <c r="C350" s="29"/>
      <c r="D350" s="85"/>
    </row>
    <row r="351" customFormat="false" ht="15.75" hidden="false" customHeight="false" outlineLevel="0" collapsed="false">
      <c r="B351" s="50"/>
      <c r="C351" s="29"/>
      <c r="D351" s="85"/>
    </row>
    <row r="352" customFormat="false" ht="15.75" hidden="false" customHeight="false" outlineLevel="0" collapsed="false">
      <c r="B352" s="50"/>
      <c r="C352" s="29"/>
      <c r="D352" s="85"/>
    </row>
    <row r="353" customFormat="false" ht="15.75" hidden="false" customHeight="false" outlineLevel="0" collapsed="false">
      <c r="B353" s="50"/>
      <c r="C353" s="29"/>
      <c r="D353" s="85"/>
    </row>
    <row r="354" customFormat="false" ht="15.75" hidden="false" customHeight="false" outlineLevel="0" collapsed="false">
      <c r="B354" s="50"/>
      <c r="C354" s="29"/>
      <c r="D354" s="85"/>
    </row>
    <row r="355" customFormat="false" ht="15.75" hidden="false" customHeight="false" outlineLevel="0" collapsed="false">
      <c r="B355" s="50"/>
      <c r="C355" s="29"/>
      <c r="D355" s="85"/>
    </row>
    <row r="356" customFormat="false" ht="15.75" hidden="false" customHeight="false" outlineLevel="0" collapsed="false">
      <c r="B356" s="50"/>
      <c r="C356" s="29"/>
      <c r="D356" s="85"/>
    </row>
    <row r="357" customFormat="false" ht="15.75" hidden="false" customHeight="false" outlineLevel="0" collapsed="false">
      <c r="B357" s="50"/>
      <c r="C357" s="29"/>
      <c r="D357" s="85"/>
    </row>
    <row r="358" customFormat="false" ht="15.75" hidden="false" customHeight="false" outlineLevel="0" collapsed="false">
      <c r="B358" s="50"/>
      <c r="C358" s="29"/>
      <c r="D358" s="85"/>
    </row>
    <row r="359" customFormat="false" ht="15.75" hidden="false" customHeight="false" outlineLevel="0" collapsed="false">
      <c r="B359" s="50"/>
      <c r="C359" s="29"/>
      <c r="D359" s="85"/>
    </row>
    <row r="360" customFormat="false" ht="15.75" hidden="false" customHeight="false" outlineLevel="0" collapsed="false">
      <c r="B360" s="50"/>
      <c r="C360" s="29"/>
      <c r="D360" s="85"/>
    </row>
    <row r="361" customFormat="false" ht="15.75" hidden="false" customHeight="false" outlineLevel="0" collapsed="false">
      <c r="B361" s="50"/>
      <c r="C361" s="29"/>
      <c r="D361" s="85"/>
    </row>
    <row r="362" customFormat="false" ht="15.75" hidden="false" customHeight="false" outlineLevel="0" collapsed="false">
      <c r="B362" s="50"/>
      <c r="C362" s="29"/>
      <c r="D362" s="85"/>
    </row>
    <row r="363" customFormat="false" ht="15.75" hidden="false" customHeight="false" outlineLevel="0" collapsed="false">
      <c r="B363" s="50"/>
      <c r="C363" s="29"/>
      <c r="D363" s="85"/>
    </row>
    <row r="364" customFormat="false" ht="15.75" hidden="false" customHeight="false" outlineLevel="0" collapsed="false">
      <c r="B364" s="50"/>
      <c r="C364" s="29"/>
      <c r="D364" s="85"/>
    </row>
    <row r="365" customFormat="false" ht="15.75" hidden="false" customHeight="false" outlineLevel="0" collapsed="false">
      <c r="B365" s="50"/>
      <c r="C365" s="29"/>
      <c r="D365" s="85"/>
    </row>
    <row r="366" customFormat="false" ht="15.75" hidden="false" customHeight="false" outlineLevel="0" collapsed="false">
      <c r="B366" s="50"/>
      <c r="C366" s="29"/>
      <c r="D366" s="85"/>
    </row>
    <row r="367" customFormat="false" ht="15.75" hidden="false" customHeight="false" outlineLevel="0" collapsed="false">
      <c r="B367" s="50"/>
      <c r="C367" s="29"/>
      <c r="D367" s="85"/>
    </row>
    <row r="368" customFormat="false" ht="15.75" hidden="false" customHeight="false" outlineLevel="0" collapsed="false">
      <c r="B368" s="50"/>
      <c r="C368" s="29"/>
      <c r="D368" s="85"/>
    </row>
    <row r="369" customFormat="false" ht="15.75" hidden="false" customHeight="false" outlineLevel="0" collapsed="false">
      <c r="B369" s="50"/>
      <c r="C369" s="29"/>
      <c r="D369" s="85"/>
    </row>
    <row r="370" customFormat="false" ht="15.75" hidden="false" customHeight="false" outlineLevel="0" collapsed="false">
      <c r="B370" s="50"/>
      <c r="C370" s="29"/>
      <c r="D370" s="85"/>
    </row>
    <row r="371" customFormat="false" ht="15.75" hidden="false" customHeight="false" outlineLevel="0" collapsed="false">
      <c r="B371" s="50"/>
      <c r="C371" s="29"/>
      <c r="D371" s="85"/>
    </row>
    <row r="372" customFormat="false" ht="15.75" hidden="false" customHeight="false" outlineLevel="0" collapsed="false">
      <c r="B372" s="50"/>
      <c r="C372" s="29"/>
      <c r="D372" s="85"/>
    </row>
    <row r="373" customFormat="false" ht="15.75" hidden="false" customHeight="false" outlineLevel="0" collapsed="false">
      <c r="B373" s="50"/>
      <c r="C373" s="29"/>
      <c r="D373" s="85"/>
    </row>
    <row r="374" customFormat="false" ht="15.75" hidden="false" customHeight="false" outlineLevel="0" collapsed="false">
      <c r="B374" s="50"/>
      <c r="C374" s="29"/>
      <c r="D374" s="85"/>
    </row>
    <row r="375" customFormat="false" ht="15.75" hidden="false" customHeight="false" outlineLevel="0" collapsed="false">
      <c r="B375" s="50"/>
      <c r="C375" s="29"/>
      <c r="D375" s="85"/>
    </row>
    <row r="376" customFormat="false" ht="15.75" hidden="false" customHeight="false" outlineLevel="0" collapsed="false">
      <c r="B376" s="50"/>
      <c r="C376" s="29"/>
      <c r="D376" s="85"/>
    </row>
    <row r="377" customFormat="false" ht="15.75" hidden="false" customHeight="false" outlineLevel="0" collapsed="false">
      <c r="B377" s="50"/>
      <c r="C377" s="29"/>
      <c r="D377" s="85"/>
    </row>
    <row r="378" customFormat="false" ht="15.75" hidden="false" customHeight="false" outlineLevel="0" collapsed="false">
      <c r="B378" s="50"/>
      <c r="C378" s="29"/>
      <c r="D378" s="85"/>
    </row>
    <row r="379" customFormat="false" ht="15.75" hidden="false" customHeight="false" outlineLevel="0" collapsed="false">
      <c r="B379" s="50"/>
      <c r="C379" s="29"/>
      <c r="D379" s="85"/>
    </row>
    <row r="380" customFormat="false" ht="15.75" hidden="false" customHeight="false" outlineLevel="0" collapsed="false">
      <c r="B380" s="50"/>
      <c r="C380" s="29"/>
      <c r="D380" s="85"/>
    </row>
    <row r="381" customFormat="false" ht="15.75" hidden="false" customHeight="false" outlineLevel="0" collapsed="false">
      <c r="B381" s="50"/>
      <c r="C381" s="29"/>
      <c r="D381" s="85"/>
    </row>
    <row r="382" customFormat="false" ht="15.75" hidden="false" customHeight="false" outlineLevel="0" collapsed="false">
      <c r="B382" s="50"/>
      <c r="C382" s="29"/>
      <c r="D382" s="85"/>
    </row>
    <row r="383" customFormat="false" ht="15.75" hidden="false" customHeight="false" outlineLevel="0" collapsed="false">
      <c r="B383" s="50"/>
      <c r="C383" s="29"/>
      <c r="D383" s="85"/>
    </row>
    <row r="384" customFormat="false" ht="15.75" hidden="false" customHeight="false" outlineLevel="0" collapsed="false">
      <c r="B384" s="50"/>
      <c r="C384" s="29"/>
      <c r="D384" s="85"/>
    </row>
    <row r="385" customFormat="false" ht="15.75" hidden="false" customHeight="false" outlineLevel="0" collapsed="false">
      <c r="B385" s="50"/>
      <c r="C385" s="29"/>
      <c r="D385" s="85"/>
    </row>
    <row r="386" customFormat="false" ht="15.75" hidden="false" customHeight="false" outlineLevel="0" collapsed="false">
      <c r="B386" s="50"/>
      <c r="C386" s="29"/>
      <c r="D386" s="85"/>
    </row>
    <row r="387" customFormat="false" ht="15.75" hidden="false" customHeight="false" outlineLevel="0" collapsed="false">
      <c r="B387" s="50"/>
      <c r="C387" s="29"/>
      <c r="D387" s="85"/>
    </row>
    <row r="388" customFormat="false" ht="15.75" hidden="false" customHeight="false" outlineLevel="0" collapsed="false">
      <c r="B388" s="50"/>
      <c r="C388" s="29"/>
      <c r="D388" s="85"/>
    </row>
    <row r="389" customFormat="false" ht="15.75" hidden="false" customHeight="false" outlineLevel="0" collapsed="false">
      <c r="B389" s="50"/>
      <c r="C389" s="29"/>
      <c r="D389" s="85"/>
    </row>
    <row r="390" customFormat="false" ht="15.75" hidden="false" customHeight="false" outlineLevel="0" collapsed="false">
      <c r="B390" s="50"/>
      <c r="C390" s="29"/>
      <c r="D390" s="85"/>
    </row>
    <row r="391" customFormat="false" ht="15.75" hidden="false" customHeight="false" outlineLevel="0" collapsed="false">
      <c r="B391" s="50"/>
      <c r="C391" s="29"/>
      <c r="D391" s="85"/>
    </row>
    <row r="392" customFormat="false" ht="15.75" hidden="false" customHeight="false" outlineLevel="0" collapsed="false">
      <c r="B392" s="50"/>
      <c r="C392" s="29"/>
      <c r="D392" s="85"/>
    </row>
    <row r="393" customFormat="false" ht="15.75" hidden="false" customHeight="false" outlineLevel="0" collapsed="false">
      <c r="B393" s="50"/>
      <c r="C393" s="29"/>
      <c r="D393" s="85"/>
    </row>
    <row r="394" customFormat="false" ht="15.75" hidden="false" customHeight="false" outlineLevel="0" collapsed="false">
      <c r="B394" s="50"/>
      <c r="C394" s="29"/>
      <c r="D394" s="85"/>
    </row>
    <row r="395" customFormat="false" ht="15.75" hidden="false" customHeight="false" outlineLevel="0" collapsed="false">
      <c r="B395" s="50"/>
      <c r="C395" s="29"/>
      <c r="D395" s="85"/>
    </row>
    <row r="396" customFormat="false" ht="15.75" hidden="false" customHeight="false" outlineLevel="0" collapsed="false">
      <c r="B396" s="50"/>
      <c r="C396" s="29"/>
      <c r="D396" s="85"/>
    </row>
    <row r="397" customFormat="false" ht="15.75" hidden="false" customHeight="false" outlineLevel="0" collapsed="false">
      <c r="B397" s="50"/>
      <c r="C397" s="29"/>
      <c r="D397" s="85"/>
    </row>
    <row r="398" customFormat="false" ht="15.75" hidden="false" customHeight="false" outlineLevel="0" collapsed="false">
      <c r="B398" s="50"/>
      <c r="C398" s="29"/>
      <c r="D398" s="85"/>
    </row>
    <row r="399" customFormat="false" ht="15.75" hidden="false" customHeight="false" outlineLevel="0" collapsed="false">
      <c r="B399" s="50"/>
      <c r="C399" s="29"/>
      <c r="D399" s="85"/>
    </row>
    <row r="400" customFormat="false" ht="15.75" hidden="false" customHeight="false" outlineLevel="0" collapsed="false">
      <c r="B400" s="50"/>
      <c r="C400" s="29"/>
      <c r="D400" s="85"/>
    </row>
    <row r="401" customFormat="false" ht="15.75" hidden="false" customHeight="false" outlineLevel="0" collapsed="false">
      <c r="B401" s="50"/>
      <c r="C401" s="29"/>
      <c r="D401" s="85"/>
    </row>
    <row r="402" customFormat="false" ht="15.75" hidden="false" customHeight="false" outlineLevel="0" collapsed="false">
      <c r="B402" s="50"/>
      <c r="C402" s="29"/>
      <c r="D402" s="85"/>
    </row>
    <row r="403" customFormat="false" ht="15.75" hidden="false" customHeight="false" outlineLevel="0" collapsed="false">
      <c r="B403" s="50"/>
      <c r="C403" s="29"/>
      <c r="D403" s="85"/>
    </row>
    <row r="404" customFormat="false" ht="15.75" hidden="false" customHeight="false" outlineLevel="0" collapsed="false">
      <c r="B404" s="50"/>
      <c r="C404" s="29"/>
      <c r="D404" s="85"/>
    </row>
    <row r="405" customFormat="false" ht="15.75" hidden="false" customHeight="false" outlineLevel="0" collapsed="false">
      <c r="B405" s="50"/>
      <c r="C405" s="29"/>
      <c r="D405" s="85"/>
    </row>
    <row r="406" customFormat="false" ht="15.75" hidden="false" customHeight="false" outlineLevel="0" collapsed="false">
      <c r="B406" s="50"/>
      <c r="C406" s="29"/>
      <c r="D406" s="85"/>
    </row>
    <row r="407" customFormat="false" ht="15.75" hidden="false" customHeight="false" outlineLevel="0" collapsed="false">
      <c r="B407" s="50"/>
      <c r="C407" s="29"/>
      <c r="D407" s="85"/>
    </row>
    <row r="408" customFormat="false" ht="15.75" hidden="false" customHeight="false" outlineLevel="0" collapsed="false">
      <c r="B408" s="50"/>
      <c r="C408" s="29"/>
      <c r="D408" s="85"/>
    </row>
    <row r="409" customFormat="false" ht="15.75" hidden="false" customHeight="false" outlineLevel="0" collapsed="false">
      <c r="B409" s="50"/>
      <c r="C409" s="29"/>
      <c r="D409" s="85"/>
    </row>
    <row r="410" customFormat="false" ht="15.75" hidden="false" customHeight="false" outlineLevel="0" collapsed="false">
      <c r="B410" s="50"/>
      <c r="C410" s="29"/>
      <c r="D410" s="85"/>
    </row>
    <row r="411" customFormat="false" ht="15.75" hidden="false" customHeight="false" outlineLevel="0" collapsed="false">
      <c r="B411" s="50"/>
      <c r="C411" s="29"/>
      <c r="D411" s="85"/>
    </row>
    <row r="412" customFormat="false" ht="15.75" hidden="false" customHeight="false" outlineLevel="0" collapsed="false">
      <c r="B412" s="50"/>
      <c r="C412" s="29"/>
      <c r="D412" s="85"/>
    </row>
    <row r="413" customFormat="false" ht="15.75" hidden="false" customHeight="false" outlineLevel="0" collapsed="false">
      <c r="B413" s="50"/>
      <c r="C413" s="29"/>
      <c r="D413" s="85"/>
    </row>
    <row r="414" customFormat="false" ht="15.75" hidden="false" customHeight="false" outlineLevel="0" collapsed="false">
      <c r="B414" s="50"/>
      <c r="C414" s="29"/>
      <c r="D414" s="85"/>
    </row>
    <row r="415" customFormat="false" ht="15.75" hidden="false" customHeight="false" outlineLevel="0" collapsed="false">
      <c r="B415" s="50"/>
      <c r="C415" s="29"/>
      <c r="D415" s="85"/>
    </row>
    <row r="416" customFormat="false" ht="15.75" hidden="false" customHeight="false" outlineLevel="0" collapsed="false">
      <c r="B416" s="50"/>
      <c r="C416" s="29"/>
      <c r="D416" s="85"/>
    </row>
    <row r="417" customFormat="false" ht="15.75" hidden="false" customHeight="false" outlineLevel="0" collapsed="false">
      <c r="B417" s="50"/>
      <c r="C417" s="29"/>
      <c r="D417" s="85"/>
    </row>
    <row r="418" customFormat="false" ht="15.75" hidden="false" customHeight="false" outlineLevel="0" collapsed="false">
      <c r="B418" s="50"/>
      <c r="C418" s="29"/>
      <c r="D418" s="85"/>
    </row>
    <row r="419" customFormat="false" ht="15.75" hidden="false" customHeight="false" outlineLevel="0" collapsed="false">
      <c r="B419" s="50"/>
      <c r="C419" s="29"/>
      <c r="D419" s="85"/>
    </row>
    <row r="420" customFormat="false" ht="15.75" hidden="false" customHeight="false" outlineLevel="0" collapsed="false">
      <c r="B420" s="50"/>
      <c r="C420" s="29"/>
      <c r="D420" s="85"/>
    </row>
    <row r="421" customFormat="false" ht="15.75" hidden="false" customHeight="false" outlineLevel="0" collapsed="false">
      <c r="B421" s="50"/>
      <c r="C421" s="29"/>
      <c r="D421" s="85"/>
    </row>
    <row r="422" customFormat="false" ht="15.75" hidden="false" customHeight="false" outlineLevel="0" collapsed="false">
      <c r="B422" s="50"/>
      <c r="C422" s="29"/>
      <c r="D422" s="85"/>
    </row>
    <row r="423" customFormat="false" ht="15.75" hidden="false" customHeight="false" outlineLevel="0" collapsed="false">
      <c r="B423" s="50"/>
      <c r="C423" s="29"/>
      <c r="D423" s="85"/>
    </row>
    <row r="424" customFormat="false" ht="15.75" hidden="false" customHeight="false" outlineLevel="0" collapsed="false">
      <c r="B424" s="50"/>
      <c r="C424" s="29"/>
      <c r="D424" s="85"/>
    </row>
    <row r="425" customFormat="false" ht="15.75" hidden="false" customHeight="false" outlineLevel="0" collapsed="false">
      <c r="B425" s="50"/>
      <c r="C425" s="29"/>
      <c r="D425" s="85"/>
    </row>
    <row r="426" customFormat="false" ht="15.75" hidden="false" customHeight="false" outlineLevel="0" collapsed="false">
      <c r="B426" s="50"/>
      <c r="C426" s="29"/>
      <c r="D426" s="85"/>
    </row>
    <row r="427" customFormat="false" ht="15.75" hidden="false" customHeight="false" outlineLevel="0" collapsed="false">
      <c r="B427" s="50"/>
      <c r="C427" s="29"/>
      <c r="D427" s="85"/>
    </row>
    <row r="428" customFormat="false" ht="15.75" hidden="false" customHeight="false" outlineLevel="0" collapsed="false">
      <c r="B428" s="50"/>
      <c r="C428" s="29"/>
      <c r="D428" s="85"/>
    </row>
    <row r="429" customFormat="false" ht="15.75" hidden="false" customHeight="false" outlineLevel="0" collapsed="false">
      <c r="B429" s="50"/>
      <c r="C429" s="29"/>
      <c r="D429" s="85"/>
    </row>
    <row r="430" customFormat="false" ht="15.75" hidden="false" customHeight="false" outlineLevel="0" collapsed="false">
      <c r="B430" s="50"/>
      <c r="C430" s="29"/>
      <c r="D430" s="85"/>
    </row>
    <row r="431" customFormat="false" ht="15.75" hidden="false" customHeight="false" outlineLevel="0" collapsed="false">
      <c r="B431" s="50"/>
      <c r="C431" s="29"/>
      <c r="D431" s="85"/>
    </row>
    <row r="432" customFormat="false" ht="15.75" hidden="false" customHeight="false" outlineLevel="0" collapsed="false">
      <c r="B432" s="50"/>
      <c r="C432" s="29"/>
      <c r="D432" s="85"/>
    </row>
    <row r="433" customFormat="false" ht="15.75" hidden="false" customHeight="false" outlineLevel="0" collapsed="false">
      <c r="B433" s="50"/>
      <c r="C433" s="29"/>
      <c r="D433" s="85"/>
    </row>
    <row r="434" customFormat="false" ht="15.75" hidden="false" customHeight="false" outlineLevel="0" collapsed="false">
      <c r="B434" s="50"/>
      <c r="C434" s="29"/>
      <c r="D434" s="85"/>
    </row>
    <row r="435" customFormat="false" ht="15.75" hidden="false" customHeight="false" outlineLevel="0" collapsed="false">
      <c r="B435" s="50"/>
      <c r="C435" s="29"/>
      <c r="D435" s="85"/>
    </row>
    <row r="436" customFormat="false" ht="15.75" hidden="false" customHeight="false" outlineLevel="0" collapsed="false">
      <c r="B436" s="50"/>
      <c r="C436" s="29"/>
      <c r="D436" s="85"/>
    </row>
    <row r="437" customFormat="false" ht="15.75" hidden="false" customHeight="false" outlineLevel="0" collapsed="false">
      <c r="B437" s="50"/>
      <c r="C437" s="29"/>
      <c r="D437" s="85"/>
    </row>
    <row r="438" customFormat="false" ht="15.75" hidden="false" customHeight="false" outlineLevel="0" collapsed="false">
      <c r="B438" s="50"/>
      <c r="C438" s="29"/>
      <c r="D438" s="85"/>
    </row>
    <row r="439" customFormat="false" ht="15.75" hidden="false" customHeight="false" outlineLevel="0" collapsed="false">
      <c r="B439" s="50"/>
      <c r="C439" s="29"/>
      <c r="D439" s="85"/>
    </row>
    <row r="440" customFormat="false" ht="15.75" hidden="false" customHeight="false" outlineLevel="0" collapsed="false">
      <c r="B440" s="50"/>
      <c r="C440" s="29"/>
      <c r="D440" s="85"/>
    </row>
    <row r="441" customFormat="false" ht="15.75" hidden="false" customHeight="false" outlineLevel="0" collapsed="false">
      <c r="B441" s="50"/>
      <c r="C441" s="29"/>
      <c r="D441" s="85"/>
    </row>
    <row r="442" customFormat="false" ht="15.75" hidden="false" customHeight="false" outlineLevel="0" collapsed="false">
      <c r="B442" s="50"/>
      <c r="C442" s="29"/>
      <c r="D442" s="85"/>
    </row>
    <row r="443" customFormat="false" ht="15.75" hidden="false" customHeight="false" outlineLevel="0" collapsed="false">
      <c r="B443" s="50"/>
      <c r="C443" s="29"/>
      <c r="D443" s="85"/>
    </row>
    <row r="444" customFormat="false" ht="15.75" hidden="false" customHeight="false" outlineLevel="0" collapsed="false">
      <c r="B444" s="50"/>
      <c r="C444" s="29"/>
      <c r="D444" s="85"/>
    </row>
    <row r="445" customFormat="false" ht="15.75" hidden="false" customHeight="false" outlineLevel="0" collapsed="false">
      <c r="B445" s="50"/>
      <c r="C445" s="29"/>
      <c r="D445" s="85"/>
    </row>
    <row r="446" customFormat="false" ht="15.75" hidden="false" customHeight="false" outlineLevel="0" collapsed="false">
      <c r="B446" s="50"/>
      <c r="C446" s="29"/>
      <c r="D446" s="85"/>
    </row>
    <row r="447" customFormat="false" ht="15.75" hidden="false" customHeight="false" outlineLevel="0" collapsed="false">
      <c r="B447" s="50"/>
      <c r="C447" s="29"/>
      <c r="D447" s="85"/>
    </row>
    <row r="448" customFormat="false" ht="15.75" hidden="false" customHeight="false" outlineLevel="0" collapsed="false">
      <c r="B448" s="50"/>
      <c r="C448" s="29"/>
      <c r="D448" s="85"/>
    </row>
    <row r="449" customFormat="false" ht="15.75" hidden="false" customHeight="false" outlineLevel="0" collapsed="false">
      <c r="B449" s="50"/>
      <c r="C449" s="29"/>
      <c r="D449" s="85"/>
    </row>
    <row r="450" customFormat="false" ht="15.75" hidden="false" customHeight="false" outlineLevel="0" collapsed="false">
      <c r="B450" s="50"/>
      <c r="C450" s="29"/>
      <c r="D450" s="85"/>
    </row>
    <row r="451" customFormat="false" ht="15.75" hidden="false" customHeight="false" outlineLevel="0" collapsed="false">
      <c r="B451" s="50"/>
      <c r="C451" s="29"/>
      <c r="D451" s="85"/>
    </row>
    <row r="452" customFormat="false" ht="15.75" hidden="false" customHeight="false" outlineLevel="0" collapsed="false">
      <c r="B452" s="50"/>
      <c r="C452" s="29"/>
      <c r="D452" s="85"/>
    </row>
    <row r="453" customFormat="false" ht="15.75" hidden="false" customHeight="false" outlineLevel="0" collapsed="false">
      <c r="B453" s="50"/>
      <c r="C453" s="29"/>
      <c r="D453" s="85"/>
    </row>
    <row r="454" customFormat="false" ht="15.75" hidden="false" customHeight="false" outlineLevel="0" collapsed="false">
      <c r="B454" s="50"/>
      <c r="C454" s="29"/>
      <c r="D454" s="85"/>
    </row>
    <row r="455" customFormat="false" ht="15.75" hidden="false" customHeight="false" outlineLevel="0" collapsed="false">
      <c r="B455" s="50"/>
      <c r="C455" s="29"/>
      <c r="D455" s="85"/>
    </row>
    <row r="456" customFormat="false" ht="15.75" hidden="false" customHeight="false" outlineLevel="0" collapsed="false">
      <c r="B456" s="50"/>
      <c r="C456" s="29"/>
      <c r="D456" s="85"/>
    </row>
    <row r="457" customFormat="false" ht="15.75" hidden="false" customHeight="false" outlineLevel="0" collapsed="false">
      <c r="B457" s="50"/>
      <c r="C457" s="29"/>
      <c r="D457" s="85"/>
    </row>
    <row r="458" customFormat="false" ht="15.75" hidden="false" customHeight="false" outlineLevel="0" collapsed="false">
      <c r="B458" s="50"/>
      <c r="C458" s="29"/>
      <c r="D458" s="85"/>
    </row>
    <row r="459" customFormat="false" ht="15.75" hidden="false" customHeight="false" outlineLevel="0" collapsed="false">
      <c r="B459" s="50"/>
      <c r="C459" s="29"/>
      <c r="D459" s="85"/>
    </row>
    <row r="460" customFormat="false" ht="15.75" hidden="false" customHeight="false" outlineLevel="0" collapsed="false">
      <c r="B460" s="50"/>
      <c r="C460" s="29"/>
      <c r="D460" s="85"/>
    </row>
    <row r="461" customFormat="false" ht="15.75" hidden="false" customHeight="false" outlineLevel="0" collapsed="false">
      <c r="B461" s="50"/>
      <c r="C461" s="29"/>
      <c r="D461" s="85"/>
    </row>
    <row r="462" customFormat="false" ht="15.75" hidden="false" customHeight="false" outlineLevel="0" collapsed="false">
      <c r="B462" s="50"/>
      <c r="C462" s="29"/>
      <c r="D462" s="85"/>
    </row>
    <row r="463" customFormat="false" ht="15.75" hidden="false" customHeight="false" outlineLevel="0" collapsed="false">
      <c r="B463" s="50"/>
      <c r="C463" s="29"/>
      <c r="D463" s="85"/>
    </row>
    <row r="464" customFormat="false" ht="15.75" hidden="false" customHeight="false" outlineLevel="0" collapsed="false">
      <c r="B464" s="50"/>
      <c r="C464" s="29"/>
      <c r="D464" s="85"/>
    </row>
    <row r="465" customFormat="false" ht="15.75" hidden="false" customHeight="false" outlineLevel="0" collapsed="false">
      <c r="B465" s="50"/>
      <c r="C465" s="29"/>
      <c r="D465" s="85"/>
    </row>
    <row r="466" customFormat="false" ht="15.75" hidden="false" customHeight="false" outlineLevel="0" collapsed="false">
      <c r="B466" s="50"/>
      <c r="C466" s="29"/>
      <c r="D466" s="85"/>
    </row>
    <row r="467" customFormat="false" ht="15.75" hidden="false" customHeight="false" outlineLevel="0" collapsed="false">
      <c r="B467" s="50"/>
      <c r="C467" s="29"/>
      <c r="D467" s="85"/>
    </row>
    <row r="468" customFormat="false" ht="15.75" hidden="false" customHeight="false" outlineLevel="0" collapsed="false">
      <c r="B468" s="50"/>
      <c r="C468" s="29"/>
      <c r="D468" s="85"/>
    </row>
    <row r="469" customFormat="false" ht="15.75" hidden="false" customHeight="false" outlineLevel="0" collapsed="false">
      <c r="B469" s="50"/>
      <c r="C469" s="29"/>
      <c r="D469" s="85"/>
    </row>
    <row r="470" customFormat="false" ht="15.75" hidden="false" customHeight="false" outlineLevel="0" collapsed="false">
      <c r="B470" s="50"/>
      <c r="C470" s="29"/>
      <c r="D470" s="85"/>
    </row>
    <row r="471" customFormat="false" ht="15.75" hidden="false" customHeight="false" outlineLevel="0" collapsed="false">
      <c r="B471" s="50"/>
      <c r="C471" s="29"/>
      <c r="D471" s="85"/>
    </row>
    <row r="472" customFormat="false" ht="15.75" hidden="false" customHeight="false" outlineLevel="0" collapsed="false">
      <c r="B472" s="50"/>
      <c r="C472" s="29"/>
      <c r="D472" s="85"/>
    </row>
    <row r="473" customFormat="false" ht="15.75" hidden="false" customHeight="false" outlineLevel="0" collapsed="false">
      <c r="B473" s="50"/>
      <c r="C473" s="29"/>
      <c r="D473" s="85"/>
    </row>
    <row r="474" customFormat="false" ht="15.75" hidden="false" customHeight="false" outlineLevel="0" collapsed="false">
      <c r="B474" s="50"/>
      <c r="C474" s="29"/>
      <c r="D474" s="85"/>
    </row>
    <row r="475" customFormat="false" ht="15.75" hidden="false" customHeight="false" outlineLevel="0" collapsed="false">
      <c r="B475" s="50"/>
      <c r="C475" s="29"/>
      <c r="D475" s="85"/>
    </row>
    <row r="476" customFormat="false" ht="15.75" hidden="false" customHeight="false" outlineLevel="0" collapsed="false">
      <c r="B476" s="50"/>
      <c r="C476" s="29"/>
      <c r="D476" s="85"/>
    </row>
    <row r="477" customFormat="false" ht="15.75" hidden="false" customHeight="false" outlineLevel="0" collapsed="false">
      <c r="B477" s="50"/>
      <c r="C477" s="29"/>
      <c r="D477" s="85"/>
    </row>
    <row r="478" customFormat="false" ht="15.75" hidden="false" customHeight="false" outlineLevel="0" collapsed="false">
      <c r="B478" s="50"/>
      <c r="C478" s="29"/>
      <c r="D478" s="85"/>
    </row>
    <row r="479" customFormat="false" ht="15.75" hidden="false" customHeight="false" outlineLevel="0" collapsed="false">
      <c r="B479" s="50"/>
      <c r="C479" s="29"/>
      <c r="D479" s="85"/>
    </row>
    <row r="480" customFormat="false" ht="15.75" hidden="false" customHeight="false" outlineLevel="0" collapsed="false">
      <c r="B480" s="50"/>
      <c r="C480" s="29"/>
      <c r="D480" s="85"/>
    </row>
    <row r="481" customFormat="false" ht="15.75" hidden="false" customHeight="false" outlineLevel="0" collapsed="false">
      <c r="B481" s="50"/>
      <c r="C481" s="29"/>
      <c r="D481" s="85"/>
    </row>
    <row r="482" customFormat="false" ht="15.75" hidden="false" customHeight="false" outlineLevel="0" collapsed="false">
      <c r="B482" s="50"/>
      <c r="C482" s="29"/>
      <c r="D482" s="85"/>
    </row>
    <row r="483" customFormat="false" ht="15.75" hidden="false" customHeight="false" outlineLevel="0" collapsed="false">
      <c r="B483" s="50"/>
      <c r="C483" s="29"/>
      <c r="D483" s="85"/>
    </row>
    <row r="484" customFormat="false" ht="15.75" hidden="false" customHeight="false" outlineLevel="0" collapsed="false">
      <c r="B484" s="50"/>
      <c r="C484" s="29"/>
      <c r="D484" s="85"/>
    </row>
    <row r="485" customFormat="false" ht="15.75" hidden="false" customHeight="false" outlineLevel="0" collapsed="false">
      <c r="B485" s="50"/>
      <c r="C485" s="29"/>
      <c r="D485" s="85"/>
    </row>
    <row r="486" customFormat="false" ht="15.75" hidden="false" customHeight="false" outlineLevel="0" collapsed="false">
      <c r="B486" s="50"/>
      <c r="C486" s="29"/>
      <c r="D486" s="85"/>
    </row>
    <row r="487" customFormat="false" ht="15.75" hidden="false" customHeight="false" outlineLevel="0" collapsed="false">
      <c r="B487" s="50"/>
      <c r="C487" s="29"/>
      <c r="D487" s="85"/>
    </row>
    <row r="488" customFormat="false" ht="15.75" hidden="false" customHeight="false" outlineLevel="0" collapsed="false">
      <c r="B488" s="50"/>
      <c r="C488" s="29"/>
      <c r="D488" s="85"/>
    </row>
    <row r="489" customFormat="false" ht="15.75" hidden="false" customHeight="false" outlineLevel="0" collapsed="false">
      <c r="B489" s="50"/>
      <c r="C489" s="29"/>
      <c r="D489" s="85"/>
    </row>
    <row r="490" customFormat="false" ht="15.75" hidden="false" customHeight="false" outlineLevel="0" collapsed="false">
      <c r="B490" s="50"/>
      <c r="C490" s="29"/>
      <c r="D490" s="85"/>
    </row>
    <row r="491" customFormat="false" ht="15.75" hidden="false" customHeight="false" outlineLevel="0" collapsed="false">
      <c r="B491" s="50"/>
      <c r="C491" s="29"/>
      <c r="D491" s="85"/>
    </row>
    <row r="492" customFormat="false" ht="15.75" hidden="false" customHeight="false" outlineLevel="0" collapsed="false">
      <c r="B492" s="50"/>
      <c r="C492" s="29"/>
      <c r="D492" s="85"/>
    </row>
    <row r="493" customFormat="false" ht="15.75" hidden="false" customHeight="false" outlineLevel="0" collapsed="false">
      <c r="B493" s="50"/>
      <c r="C493" s="29"/>
      <c r="D493" s="85"/>
    </row>
    <row r="494" customFormat="false" ht="15.75" hidden="false" customHeight="false" outlineLevel="0" collapsed="false">
      <c r="B494" s="50"/>
      <c r="C494" s="29"/>
      <c r="D494" s="85"/>
    </row>
    <row r="495" customFormat="false" ht="15.75" hidden="false" customHeight="false" outlineLevel="0" collapsed="false">
      <c r="B495" s="50"/>
      <c r="C495" s="29"/>
      <c r="D495" s="85"/>
    </row>
    <row r="496" customFormat="false" ht="15.75" hidden="false" customHeight="false" outlineLevel="0" collapsed="false">
      <c r="B496" s="50"/>
      <c r="C496" s="29"/>
      <c r="D496" s="85"/>
    </row>
    <row r="497" customFormat="false" ht="15.75" hidden="false" customHeight="false" outlineLevel="0" collapsed="false">
      <c r="B497" s="50"/>
      <c r="C497" s="29"/>
      <c r="D497" s="85"/>
    </row>
    <row r="498" customFormat="false" ht="15.75" hidden="false" customHeight="false" outlineLevel="0" collapsed="false">
      <c r="B498" s="50"/>
      <c r="C498" s="29"/>
      <c r="D498" s="85"/>
    </row>
    <row r="499" customFormat="false" ht="15.75" hidden="false" customHeight="false" outlineLevel="0" collapsed="false">
      <c r="B499" s="50"/>
      <c r="C499" s="29"/>
      <c r="D499" s="85"/>
    </row>
    <row r="500" customFormat="false" ht="15.75" hidden="false" customHeight="false" outlineLevel="0" collapsed="false">
      <c r="B500" s="50"/>
      <c r="C500" s="29"/>
      <c r="D500" s="85"/>
    </row>
    <row r="501" customFormat="false" ht="15.75" hidden="false" customHeight="false" outlineLevel="0" collapsed="false">
      <c r="B501" s="50"/>
      <c r="C501" s="29"/>
      <c r="D501" s="85"/>
    </row>
    <row r="502" customFormat="false" ht="15.75" hidden="false" customHeight="false" outlineLevel="0" collapsed="false">
      <c r="B502" s="50"/>
      <c r="C502" s="29"/>
      <c r="D502" s="85"/>
    </row>
    <row r="503" customFormat="false" ht="15.75" hidden="false" customHeight="false" outlineLevel="0" collapsed="false">
      <c r="B503" s="50"/>
      <c r="C503" s="29"/>
      <c r="D503" s="85"/>
    </row>
    <row r="504" customFormat="false" ht="15.75" hidden="false" customHeight="false" outlineLevel="0" collapsed="false">
      <c r="B504" s="50"/>
      <c r="C504" s="29"/>
      <c r="D504" s="85"/>
    </row>
    <row r="505" customFormat="false" ht="15.75" hidden="false" customHeight="false" outlineLevel="0" collapsed="false">
      <c r="B505" s="50"/>
      <c r="C505" s="29"/>
      <c r="D505" s="85"/>
    </row>
    <row r="506" customFormat="false" ht="15.75" hidden="false" customHeight="false" outlineLevel="0" collapsed="false">
      <c r="B506" s="50"/>
      <c r="C506" s="29"/>
      <c r="D506" s="85"/>
    </row>
    <row r="507" customFormat="false" ht="15.75" hidden="false" customHeight="false" outlineLevel="0" collapsed="false">
      <c r="B507" s="50"/>
      <c r="C507" s="29"/>
      <c r="D507" s="85"/>
    </row>
    <row r="508" customFormat="false" ht="15.75" hidden="false" customHeight="false" outlineLevel="0" collapsed="false">
      <c r="B508" s="50"/>
      <c r="C508" s="29"/>
      <c r="D508" s="85"/>
    </row>
    <row r="509" customFormat="false" ht="15.75" hidden="false" customHeight="false" outlineLevel="0" collapsed="false">
      <c r="B509" s="50"/>
      <c r="C509" s="29"/>
      <c r="D509" s="85"/>
    </row>
    <row r="510" customFormat="false" ht="15.75" hidden="false" customHeight="false" outlineLevel="0" collapsed="false">
      <c r="B510" s="50"/>
      <c r="C510" s="29"/>
      <c r="D510" s="85"/>
    </row>
    <row r="511" customFormat="false" ht="15.75" hidden="false" customHeight="false" outlineLevel="0" collapsed="false">
      <c r="B511" s="50"/>
      <c r="C511" s="29"/>
      <c r="D511" s="85"/>
    </row>
    <row r="512" customFormat="false" ht="15.75" hidden="false" customHeight="false" outlineLevel="0" collapsed="false">
      <c r="B512" s="50"/>
      <c r="C512" s="29"/>
      <c r="D512" s="85"/>
    </row>
    <row r="513" customFormat="false" ht="15.75" hidden="false" customHeight="false" outlineLevel="0" collapsed="false">
      <c r="B513" s="50"/>
      <c r="C513" s="29"/>
      <c r="D513" s="85"/>
    </row>
    <row r="514" customFormat="false" ht="15.75" hidden="false" customHeight="false" outlineLevel="0" collapsed="false">
      <c r="B514" s="50"/>
      <c r="C514" s="29"/>
      <c r="D514" s="85"/>
    </row>
    <row r="515" customFormat="false" ht="15.75" hidden="false" customHeight="false" outlineLevel="0" collapsed="false">
      <c r="B515" s="50"/>
      <c r="C515" s="29"/>
      <c r="D515" s="85"/>
    </row>
    <row r="516" customFormat="false" ht="15.75" hidden="false" customHeight="false" outlineLevel="0" collapsed="false">
      <c r="B516" s="50"/>
      <c r="C516" s="29"/>
      <c r="D516" s="85"/>
    </row>
    <row r="517" customFormat="false" ht="15.75" hidden="false" customHeight="false" outlineLevel="0" collapsed="false">
      <c r="B517" s="50"/>
      <c r="C517" s="29"/>
      <c r="D517" s="85"/>
    </row>
    <row r="518" customFormat="false" ht="15.75" hidden="false" customHeight="false" outlineLevel="0" collapsed="false">
      <c r="B518" s="50"/>
      <c r="C518" s="29"/>
      <c r="D518" s="85"/>
    </row>
    <row r="519" customFormat="false" ht="15.75" hidden="false" customHeight="false" outlineLevel="0" collapsed="false">
      <c r="B519" s="50"/>
      <c r="C519" s="29"/>
      <c r="D519" s="85"/>
    </row>
    <row r="520" customFormat="false" ht="15.75" hidden="false" customHeight="false" outlineLevel="0" collapsed="false">
      <c r="B520" s="50"/>
      <c r="C520" s="29"/>
      <c r="D520" s="85"/>
    </row>
    <row r="521" customFormat="false" ht="15.75" hidden="false" customHeight="false" outlineLevel="0" collapsed="false">
      <c r="B521" s="50"/>
      <c r="C521" s="29"/>
      <c r="D521" s="85"/>
    </row>
    <row r="522" customFormat="false" ht="15.75" hidden="false" customHeight="false" outlineLevel="0" collapsed="false">
      <c r="B522" s="50"/>
      <c r="C522" s="29"/>
      <c r="D522" s="85"/>
    </row>
    <row r="523" customFormat="false" ht="15.75" hidden="false" customHeight="false" outlineLevel="0" collapsed="false">
      <c r="B523" s="50"/>
      <c r="C523" s="29"/>
      <c r="D523" s="85"/>
    </row>
    <row r="524" customFormat="false" ht="15.75" hidden="false" customHeight="false" outlineLevel="0" collapsed="false">
      <c r="B524" s="50"/>
      <c r="C524" s="29"/>
      <c r="D524" s="85"/>
    </row>
    <row r="525" customFormat="false" ht="15.75" hidden="false" customHeight="false" outlineLevel="0" collapsed="false">
      <c r="B525" s="50"/>
      <c r="C525" s="29"/>
      <c r="D525" s="85"/>
    </row>
    <row r="526" customFormat="false" ht="15.75" hidden="false" customHeight="false" outlineLevel="0" collapsed="false">
      <c r="B526" s="50"/>
      <c r="C526" s="29"/>
      <c r="D526" s="85"/>
    </row>
    <row r="527" customFormat="false" ht="15.75" hidden="false" customHeight="false" outlineLevel="0" collapsed="false">
      <c r="B527" s="50"/>
      <c r="C527" s="29"/>
      <c r="D527" s="85"/>
    </row>
    <row r="528" customFormat="false" ht="15.75" hidden="false" customHeight="false" outlineLevel="0" collapsed="false">
      <c r="B528" s="50"/>
      <c r="C528" s="29"/>
      <c r="D528" s="85"/>
    </row>
    <row r="529" customFormat="false" ht="15.75" hidden="false" customHeight="false" outlineLevel="0" collapsed="false">
      <c r="B529" s="50"/>
      <c r="C529" s="29"/>
      <c r="D529" s="85"/>
    </row>
    <row r="530" customFormat="false" ht="15.75" hidden="false" customHeight="false" outlineLevel="0" collapsed="false">
      <c r="B530" s="50"/>
      <c r="C530" s="29"/>
      <c r="D530" s="85"/>
    </row>
    <row r="531" customFormat="false" ht="15.75" hidden="false" customHeight="false" outlineLevel="0" collapsed="false">
      <c r="B531" s="50"/>
      <c r="C531" s="29"/>
      <c r="D531" s="85"/>
    </row>
    <row r="532" customFormat="false" ht="15.75" hidden="false" customHeight="false" outlineLevel="0" collapsed="false">
      <c r="B532" s="50"/>
      <c r="C532" s="29"/>
      <c r="D532" s="85"/>
    </row>
    <row r="533" customFormat="false" ht="15.75" hidden="false" customHeight="false" outlineLevel="0" collapsed="false">
      <c r="B533" s="50"/>
      <c r="C533" s="29"/>
      <c r="D533" s="85"/>
    </row>
    <row r="534" customFormat="false" ht="15.75" hidden="false" customHeight="false" outlineLevel="0" collapsed="false">
      <c r="B534" s="50"/>
      <c r="C534" s="29"/>
      <c r="D534" s="85"/>
    </row>
    <row r="535" customFormat="false" ht="15.75" hidden="false" customHeight="false" outlineLevel="0" collapsed="false">
      <c r="B535" s="50"/>
      <c r="C535" s="29"/>
      <c r="D535" s="85"/>
    </row>
    <row r="536" customFormat="false" ht="15.75" hidden="false" customHeight="false" outlineLevel="0" collapsed="false">
      <c r="B536" s="50"/>
      <c r="C536" s="29"/>
      <c r="D536" s="85"/>
    </row>
    <row r="537" customFormat="false" ht="15.75" hidden="false" customHeight="false" outlineLevel="0" collapsed="false">
      <c r="B537" s="50"/>
      <c r="C537" s="29"/>
      <c r="D537" s="85"/>
    </row>
    <row r="538" customFormat="false" ht="15.75" hidden="false" customHeight="false" outlineLevel="0" collapsed="false">
      <c r="B538" s="50"/>
      <c r="C538" s="29"/>
      <c r="D538" s="85"/>
    </row>
    <row r="539" customFormat="false" ht="15.75" hidden="false" customHeight="false" outlineLevel="0" collapsed="false">
      <c r="B539" s="50"/>
      <c r="C539" s="29"/>
      <c r="D539" s="85"/>
    </row>
    <row r="540" customFormat="false" ht="15.75" hidden="false" customHeight="false" outlineLevel="0" collapsed="false">
      <c r="B540" s="50"/>
      <c r="C540" s="29"/>
      <c r="D540" s="85"/>
    </row>
    <row r="541" customFormat="false" ht="15.75" hidden="false" customHeight="false" outlineLevel="0" collapsed="false">
      <c r="B541" s="50"/>
      <c r="C541" s="29"/>
      <c r="D541" s="85"/>
    </row>
    <row r="542" customFormat="false" ht="15.75" hidden="false" customHeight="false" outlineLevel="0" collapsed="false">
      <c r="B542" s="50"/>
      <c r="C542" s="29"/>
      <c r="D542" s="85"/>
    </row>
    <row r="543" customFormat="false" ht="15.75" hidden="false" customHeight="false" outlineLevel="0" collapsed="false">
      <c r="B543" s="50"/>
      <c r="C543" s="29"/>
      <c r="D543" s="85"/>
    </row>
    <row r="544" customFormat="false" ht="15.75" hidden="false" customHeight="false" outlineLevel="0" collapsed="false">
      <c r="B544" s="50"/>
      <c r="C544" s="29"/>
      <c r="D544" s="85"/>
    </row>
    <row r="545" customFormat="false" ht="15.75" hidden="false" customHeight="false" outlineLevel="0" collapsed="false">
      <c r="B545" s="50"/>
      <c r="C545" s="29"/>
      <c r="D545" s="85"/>
    </row>
    <row r="546" customFormat="false" ht="15.75" hidden="false" customHeight="false" outlineLevel="0" collapsed="false">
      <c r="B546" s="50"/>
      <c r="C546" s="29"/>
      <c r="D546" s="85"/>
    </row>
    <row r="547" customFormat="false" ht="15.75" hidden="false" customHeight="false" outlineLevel="0" collapsed="false">
      <c r="B547" s="50"/>
      <c r="C547" s="29"/>
      <c r="D547" s="85"/>
    </row>
    <row r="548" customFormat="false" ht="15.75" hidden="false" customHeight="false" outlineLevel="0" collapsed="false">
      <c r="B548" s="50"/>
      <c r="C548" s="29"/>
      <c r="D548" s="85"/>
    </row>
    <row r="549" customFormat="false" ht="15.75" hidden="false" customHeight="false" outlineLevel="0" collapsed="false">
      <c r="B549" s="50"/>
      <c r="C549" s="29"/>
      <c r="D549" s="85"/>
    </row>
    <row r="550" customFormat="false" ht="15.75" hidden="false" customHeight="false" outlineLevel="0" collapsed="false">
      <c r="B550" s="50"/>
      <c r="C550" s="29"/>
      <c r="D550" s="85"/>
    </row>
    <row r="551" customFormat="false" ht="15.75" hidden="false" customHeight="false" outlineLevel="0" collapsed="false">
      <c r="B551" s="50"/>
      <c r="C551" s="29"/>
      <c r="D551" s="85"/>
    </row>
    <row r="552" customFormat="false" ht="15.75" hidden="false" customHeight="false" outlineLevel="0" collapsed="false">
      <c r="B552" s="50"/>
      <c r="C552" s="29"/>
      <c r="D552" s="85"/>
    </row>
    <row r="553" customFormat="false" ht="15.75" hidden="false" customHeight="false" outlineLevel="0" collapsed="false">
      <c r="B553" s="50"/>
      <c r="C553" s="29"/>
      <c r="D553" s="85"/>
    </row>
    <row r="554" customFormat="false" ht="15.75" hidden="false" customHeight="false" outlineLevel="0" collapsed="false">
      <c r="B554" s="50"/>
      <c r="C554" s="29"/>
      <c r="D554" s="85"/>
    </row>
    <row r="555" customFormat="false" ht="15.75" hidden="false" customHeight="false" outlineLevel="0" collapsed="false">
      <c r="B555" s="50"/>
      <c r="C555" s="29"/>
      <c r="D555" s="85"/>
    </row>
    <row r="556" customFormat="false" ht="15.75" hidden="false" customHeight="false" outlineLevel="0" collapsed="false">
      <c r="B556" s="50"/>
      <c r="C556" s="29"/>
      <c r="D556" s="85"/>
    </row>
    <row r="557" customFormat="false" ht="15.75" hidden="false" customHeight="false" outlineLevel="0" collapsed="false">
      <c r="B557" s="50"/>
      <c r="C557" s="29"/>
      <c r="D557" s="85"/>
    </row>
    <row r="558" customFormat="false" ht="15.75" hidden="false" customHeight="false" outlineLevel="0" collapsed="false">
      <c r="B558" s="50"/>
      <c r="C558" s="29"/>
      <c r="D558" s="85"/>
    </row>
    <row r="559" customFormat="false" ht="15.75" hidden="false" customHeight="false" outlineLevel="0" collapsed="false">
      <c r="B559" s="50"/>
      <c r="C559" s="29"/>
      <c r="D559" s="85"/>
    </row>
    <row r="560" customFormat="false" ht="15.75" hidden="false" customHeight="false" outlineLevel="0" collapsed="false">
      <c r="B560" s="50"/>
      <c r="C560" s="29"/>
      <c r="D560" s="85"/>
    </row>
    <row r="561" customFormat="false" ht="15.75" hidden="false" customHeight="false" outlineLevel="0" collapsed="false">
      <c r="B561" s="50"/>
      <c r="C561" s="29"/>
      <c r="D561" s="85"/>
    </row>
    <row r="562" customFormat="false" ht="15.75" hidden="false" customHeight="false" outlineLevel="0" collapsed="false">
      <c r="B562" s="50"/>
      <c r="C562" s="29"/>
      <c r="D562" s="85"/>
    </row>
    <row r="563" customFormat="false" ht="15.75" hidden="false" customHeight="false" outlineLevel="0" collapsed="false">
      <c r="B563" s="50"/>
      <c r="C563" s="29"/>
      <c r="D563" s="85"/>
    </row>
    <row r="564" customFormat="false" ht="15.75" hidden="false" customHeight="false" outlineLevel="0" collapsed="false">
      <c r="B564" s="50"/>
      <c r="C564" s="29"/>
      <c r="D564" s="85"/>
    </row>
    <row r="565" customFormat="false" ht="15.75" hidden="false" customHeight="false" outlineLevel="0" collapsed="false">
      <c r="B565" s="50"/>
      <c r="C565" s="29"/>
      <c r="D565" s="85"/>
    </row>
    <row r="566" customFormat="false" ht="15.75" hidden="false" customHeight="false" outlineLevel="0" collapsed="false">
      <c r="B566" s="50"/>
      <c r="C566" s="29"/>
      <c r="D566" s="85"/>
    </row>
    <row r="567" customFormat="false" ht="15.75" hidden="false" customHeight="false" outlineLevel="0" collapsed="false">
      <c r="B567" s="50"/>
      <c r="C567" s="29"/>
      <c r="D567" s="85"/>
    </row>
    <row r="568" customFormat="false" ht="15.75" hidden="false" customHeight="false" outlineLevel="0" collapsed="false">
      <c r="B568" s="50"/>
      <c r="C568" s="29"/>
      <c r="D568" s="85"/>
    </row>
    <row r="569" customFormat="false" ht="15.75" hidden="false" customHeight="false" outlineLevel="0" collapsed="false">
      <c r="B569" s="50"/>
      <c r="C569" s="29"/>
      <c r="D569" s="85"/>
    </row>
    <row r="570" customFormat="false" ht="15.75" hidden="false" customHeight="false" outlineLevel="0" collapsed="false">
      <c r="B570" s="50"/>
      <c r="C570" s="29"/>
      <c r="D570" s="85"/>
    </row>
    <row r="571" customFormat="false" ht="15.75" hidden="false" customHeight="false" outlineLevel="0" collapsed="false">
      <c r="B571" s="50"/>
      <c r="C571" s="29"/>
      <c r="D571" s="85"/>
    </row>
    <row r="572" customFormat="false" ht="15.75" hidden="false" customHeight="false" outlineLevel="0" collapsed="false">
      <c r="B572" s="50"/>
      <c r="C572" s="29"/>
      <c r="D572" s="85"/>
    </row>
    <row r="573" customFormat="false" ht="15.75" hidden="false" customHeight="false" outlineLevel="0" collapsed="false">
      <c r="B573" s="50"/>
      <c r="C573" s="29"/>
      <c r="D573" s="85"/>
    </row>
    <row r="574" customFormat="false" ht="15.75" hidden="false" customHeight="false" outlineLevel="0" collapsed="false">
      <c r="B574" s="50"/>
      <c r="C574" s="29"/>
      <c r="D574" s="85"/>
    </row>
    <row r="575" customFormat="false" ht="15.75" hidden="false" customHeight="false" outlineLevel="0" collapsed="false">
      <c r="B575" s="50"/>
      <c r="C575" s="29"/>
      <c r="D575" s="85"/>
    </row>
    <row r="576" customFormat="false" ht="15.75" hidden="false" customHeight="false" outlineLevel="0" collapsed="false">
      <c r="B576" s="50"/>
      <c r="C576" s="29"/>
      <c r="D576" s="85"/>
    </row>
    <row r="577" customFormat="false" ht="15.75" hidden="false" customHeight="false" outlineLevel="0" collapsed="false">
      <c r="B577" s="50"/>
      <c r="C577" s="29"/>
      <c r="D577" s="85"/>
    </row>
    <row r="578" customFormat="false" ht="15.75" hidden="false" customHeight="false" outlineLevel="0" collapsed="false">
      <c r="B578" s="50"/>
      <c r="C578" s="29"/>
      <c r="D578" s="85"/>
    </row>
    <row r="579" customFormat="false" ht="15.75" hidden="false" customHeight="false" outlineLevel="0" collapsed="false">
      <c r="B579" s="50"/>
      <c r="C579" s="29"/>
      <c r="D579" s="85"/>
    </row>
    <row r="580" customFormat="false" ht="15.75" hidden="false" customHeight="false" outlineLevel="0" collapsed="false">
      <c r="B580" s="50"/>
      <c r="C580" s="29"/>
      <c r="D580" s="85"/>
    </row>
    <row r="581" customFormat="false" ht="15.75" hidden="false" customHeight="false" outlineLevel="0" collapsed="false">
      <c r="B581" s="50"/>
      <c r="C581" s="29"/>
      <c r="D581" s="85"/>
    </row>
    <row r="582" customFormat="false" ht="15.75" hidden="false" customHeight="false" outlineLevel="0" collapsed="false">
      <c r="B582" s="50"/>
      <c r="C582" s="29"/>
      <c r="D582" s="85"/>
    </row>
    <row r="583" customFormat="false" ht="15.75" hidden="false" customHeight="false" outlineLevel="0" collapsed="false">
      <c r="B583" s="50"/>
      <c r="C583" s="29"/>
      <c r="D583" s="85"/>
    </row>
    <row r="584" customFormat="false" ht="15.75" hidden="false" customHeight="false" outlineLevel="0" collapsed="false">
      <c r="B584" s="50"/>
      <c r="C584" s="29"/>
      <c r="D584" s="85"/>
    </row>
    <row r="585" customFormat="false" ht="15.75" hidden="false" customHeight="false" outlineLevel="0" collapsed="false">
      <c r="B585" s="50"/>
      <c r="C585" s="29"/>
      <c r="D585" s="85"/>
    </row>
    <row r="586" customFormat="false" ht="15.75" hidden="false" customHeight="false" outlineLevel="0" collapsed="false">
      <c r="B586" s="50"/>
      <c r="C586" s="29"/>
      <c r="D586" s="85"/>
    </row>
    <row r="587" customFormat="false" ht="15.75" hidden="false" customHeight="false" outlineLevel="0" collapsed="false">
      <c r="B587" s="50"/>
      <c r="C587" s="29"/>
      <c r="D587" s="85"/>
    </row>
    <row r="588" customFormat="false" ht="15.75" hidden="false" customHeight="false" outlineLevel="0" collapsed="false">
      <c r="B588" s="50"/>
      <c r="C588" s="29"/>
      <c r="D588" s="85"/>
    </row>
    <row r="589" customFormat="false" ht="15.75" hidden="false" customHeight="false" outlineLevel="0" collapsed="false">
      <c r="B589" s="50"/>
      <c r="C589" s="29"/>
      <c r="D589" s="85"/>
    </row>
    <row r="590" customFormat="false" ht="15.75" hidden="false" customHeight="false" outlineLevel="0" collapsed="false">
      <c r="B590" s="50"/>
      <c r="C590" s="29"/>
      <c r="D590" s="85"/>
    </row>
    <row r="591" customFormat="false" ht="15.75" hidden="false" customHeight="false" outlineLevel="0" collapsed="false">
      <c r="B591" s="50"/>
      <c r="C591" s="29"/>
      <c r="D591" s="85"/>
    </row>
    <row r="592" customFormat="false" ht="15.75" hidden="false" customHeight="false" outlineLevel="0" collapsed="false">
      <c r="B592" s="50"/>
      <c r="C592" s="29"/>
      <c r="D592" s="85"/>
    </row>
    <row r="593" customFormat="false" ht="15.75" hidden="false" customHeight="false" outlineLevel="0" collapsed="false">
      <c r="B593" s="50"/>
      <c r="C593" s="29"/>
      <c r="D593" s="85"/>
    </row>
    <row r="594" customFormat="false" ht="15.75" hidden="false" customHeight="false" outlineLevel="0" collapsed="false">
      <c r="B594" s="50"/>
      <c r="C594" s="29"/>
      <c r="D594" s="85"/>
    </row>
    <row r="595" customFormat="false" ht="15.75" hidden="false" customHeight="false" outlineLevel="0" collapsed="false">
      <c r="B595" s="50"/>
      <c r="C595" s="29"/>
      <c r="D595" s="85"/>
    </row>
    <row r="596" customFormat="false" ht="15.75" hidden="false" customHeight="false" outlineLevel="0" collapsed="false">
      <c r="B596" s="50"/>
      <c r="C596" s="29"/>
      <c r="D596" s="85"/>
    </row>
    <row r="597" customFormat="false" ht="15.75" hidden="false" customHeight="false" outlineLevel="0" collapsed="false">
      <c r="B597" s="50"/>
      <c r="C597" s="29"/>
      <c r="D597" s="85"/>
    </row>
    <row r="598" customFormat="false" ht="15.75" hidden="false" customHeight="false" outlineLevel="0" collapsed="false">
      <c r="B598" s="50"/>
      <c r="C598" s="29"/>
      <c r="D598" s="85"/>
    </row>
    <row r="599" customFormat="false" ht="15.75" hidden="false" customHeight="false" outlineLevel="0" collapsed="false">
      <c r="B599" s="50"/>
      <c r="C599" s="29"/>
      <c r="D599" s="85"/>
    </row>
    <row r="600" customFormat="false" ht="15.75" hidden="false" customHeight="false" outlineLevel="0" collapsed="false">
      <c r="B600" s="50"/>
      <c r="C600" s="29"/>
      <c r="D600" s="85"/>
    </row>
    <row r="601" customFormat="false" ht="15.75" hidden="false" customHeight="false" outlineLevel="0" collapsed="false">
      <c r="B601" s="50"/>
      <c r="C601" s="29"/>
      <c r="D601" s="85"/>
    </row>
    <row r="602" customFormat="false" ht="15.75" hidden="false" customHeight="false" outlineLevel="0" collapsed="false">
      <c r="B602" s="50"/>
      <c r="C602" s="29"/>
      <c r="D602" s="85"/>
    </row>
    <row r="603" customFormat="false" ht="15.75" hidden="false" customHeight="false" outlineLevel="0" collapsed="false">
      <c r="B603" s="50"/>
      <c r="C603" s="29"/>
      <c r="D603" s="85"/>
    </row>
    <row r="604" customFormat="false" ht="15.75" hidden="false" customHeight="false" outlineLevel="0" collapsed="false">
      <c r="B604" s="50"/>
      <c r="C604" s="29"/>
      <c r="D604" s="85"/>
    </row>
    <row r="605" customFormat="false" ht="15.75" hidden="false" customHeight="false" outlineLevel="0" collapsed="false">
      <c r="B605" s="50"/>
      <c r="C605" s="29"/>
      <c r="D605" s="85"/>
    </row>
    <row r="606" customFormat="false" ht="15.75" hidden="false" customHeight="false" outlineLevel="0" collapsed="false">
      <c r="B606" s="50"/>
      <c r="C606" s="29"/>
      <c r="D606" s="85"/>
    </row>
    <row r="607" customFormat="false" ht="15.75" hidden="false" customHeight="false" outlineLevel="0" collapsed="false">
      <c r="B607" s="50"/>
      <c r="C607" s="29"/>
      <c r="D607" s="85"/>
    </row>
    <row r="608" customFormat="false" ht="15.75" hidden="false" customHeight="false" outlineLevel="0" collapsed="false">
      <c r="B608" s="50"/>
      <c r="C608" s="29"/>
      <c r="D608" s="85"/>
    </row>
    <row r="609" customFormat="false" ht="15.75" hidden="false" customHeight="false" outlineLevel="0" collapsed="false">
      <c r="B609" s="50"/>
      <c r="C609" s="29"/>
      <c r="D609" s="85"/>
    </row>
    <row r="610" customFormat="false" ht="15.75" hidden="false" customHeight="false" outlineLevel="0" collapsed="false">
      <c r="B610" s="50"/>
      <c r="C610" s="29"/>
      <c r="D610" s="85"/>
    </row>
    <row r="611" customFormat="false" ht="15.75" hidden="false" customHeight="false" outlineLevel="0" collapsed="false">
      <c r="B611" s="50"/>
      <c r="C611" s="29"/>
      <c r="D611" s="85"/>
    </row>
    <row r="612" customFormat="false" ht="15.75" hidden="false" customHeight="false" outlineLevel="0" collapsed="false">
      <c r="B612" s="50"/>
      <c r="C612" s="29"/>
      <c r="D612" s="85"/>
    </row>
    <row r="613" customFormat="false" ht="15.75" hidden="false" customHeight="false" outlineLevel="0" collapsed="false">
      <c r="B613" s="50"/>
      <c r="C613" s="29"/>
      <c r="D613" s="85"/>
    </row>
    <row r="614" customFormat="false" ht="15.75" hidden="false" customHeight="false" outlineLevel="0" collapsed="false">
      <c r="B614" s="50"/>
      <c r="C614" s="29"/>
      <c r="D614" s="85"/>
    </row>
    <row r="615" customFormat="false" ht="15.75" hidden="false" customHeight="false" outlineLevel="0" collapsed="false">
      <c r="B615" s="50"/>
      <c r="C615" s="29"/>
      <c r="D615" s="85"/>
    </row>
    <row r="616" customFormat="false" ht="15.75" hidden="false" customHeight="false" outlineLevel="0" collapsed="false">
      <c r="B616" s="50"/>
      <c r="C616" s="29"/>
      <c r="D616" s="85"/>
    </row>
    <row r="617" customFormat="false" ht="15.75" hidden="false" customHeight="false" outlineLevel="0" collapsed="false">
      <c r="B617" s="50"/>
      <c r="C617" s="29"/>
      <c r="D617" s="85"/>
    </row>
    <row r="618" customFormat="false" ht="15.75" hidden="false" customHeight="false" outlineLevel="0" collapsed="false">
      <c r="B618" s="50"/>
      <c r="C618" s="29"/>
      <c r="D618" s="85"/>
    </row>
    <row r="619" customFormat="false" ht="15.75" hidden="false" customHeight="false" outlineLevel="0" collapsed="false">
      <c r="B619" s="50"/>
      <c r="C619" s="29"/>
      <c r="D619" s="85"/>
    </row>
    <row r="620" customFormat="false" ht="15.75" hidden="false" customHeight="false" outlineLevel="0" collapsed="false">
      <c r="B620" s="50"/>
      <c r="C620" s="29"/>
      <c r="D620" s="85"/>
    </row>
    <row r="621" customFormat="false" ht="15.75" hidden="false" customHeight="false" outlineLevel="0" collapsed="false">
      <c r="B621" s="50"/>
      <c r="C621" s="29"/>
      <c r="D621" s="85"/>
    </row>
    <row r="622" customFormat="false" ht="15.75" hidden="false" customHeight="false" outlineLevel="0" collapsed="false">
      <c r="B622" s="50"/>
      <c r="C622" s="29"/>
      <c r="D622" s="85"/>
    </row>
    <row r="623" customFormat="false" ht="15.75" hidden="false" customHeight="false" outlineLevel="0" collapsed="false">
      <c r="B623" s="50"/>
      <c r="C623" s="29"/>
      <c r="D623" s="85"/>
    </row>
    <row r="624" customFormat="false" ht="15.75" hidden="false" customHeight="false" outlineLevel="0" collapsed="false">
      <c r="B624" s="50"/>
      <c r="C624" s="29"/>
      <c r="D624" s="85"/>
    </row>
    <row r="625" customFormat="false" ht="15.75" hidden="false" customHeight="false" outlineLevel="0" collapsed="false">
      <c r="B625" s="50"/>
      <c r="C625" s="29"/>
      <c r="D625" s="85"/>
    </row>
    <row r="626" customFormat="false" ht="15.75" hidden="false" customHeight="false" outlineLevel="0" collapsed="false">
      <c r="B626" s="50"/>
      <c r="C626" s="29"/>
      <c r="D626" s="85"/>
    </row>
    <row r="627" customFormat="false" ht="15.75" hidden="false" customHeight="false" outlineLevel="0" collapsed="false">
      <c r="B627" s="50"/>
      <c r="C627" s="29"/>
      <c r="D627" s="85"/>
    </row>
    <row r="628" customFormat="false" ht="15.75" hidden="false" customHeight="false" outlineLevel="0" collapsed="false">
      <c r="B628" s="50"/>
      <c r="C628" s="29"/>
      <c r="D628" s="85"/>
    </row>
    <row r="629" customFormat="false" ht="15.75" hidden="false" customHeight="false" outlineLevel="0" collapsed="false">
      <c r="B629" s="50"/>
      <c r="C629" s="29"/>
      <c r="D629" s="85"/>
    </row>
    <row r="630" customFormat="false" ht="15.75" hidden="false" customHeight="false" outlineLevel="0" collapsed="false">
      <c r="B630" s="50"/>
      <c r="C630" s="29"/>
      <c r="D630" s="85"/>
    </row>
    <row r="631" customFormat="false" ht="15.75" hidden="false" customHeight="false" outlineLevel="0" collapsed="false">
      <c r="B631" s="50"/>
      <c r="C631" s="29"/>
      <c r="D631" s="85"/>
    </row>
    <row r="632" customFormat="false" ht="15.75" hidden="false" customHeight="false" outlineLevel="0" collapsed="false">
      <c r="B632" s="50"/>
      <c r="C632" s="29"/>
      <c r="D632" s="85"/>
    </row>
    <row r="633" customFormat="false" ht="15.75" hidden="false" customHeight="false" outlineLevel="0" collapsed="false">
      <c r="B633" s="50"/>
      <c r="C633" s="29"/>
      <c r="D633" s="85"/>
    </row>
    <row r="634" customFormat="false" ht="15.75" hidden="false" customHeight="false" outlineLevel="0" collapsed="false">
      <c r="B634" s="50"/>
      <c r="C634" s="29"/>
      <c r="D634" s="85"/>
    </row>
    <row r="635" customFormat="false" ht="15.75" hidden="false" customHeight="false" outlineLevel="0" collapsed="false">
      <c r="B635" s="50"/>
      <c r="C635" s="29"/>
      <c r="D635" s="85"/>
    </row>
    <row r="636" customFormat="false" ht="15.75" hidden="false" customHeight="false" outlineLevel="0" collapsed="false">
      <c r="B636" s="50"/>
      <c r="C636" s="29"/>
      <c r="D636" s="85"/>
    </row>
    <row r="637" customFormat="false" ht="15.75" hidden="false" customHeight="false" outlineLevel="0" collapsed="false">
      <c r="B637" s="50"/>
      <c r="C637" s="29"/>
      <c r="D637" s="85"/>
    </row>
    <row r="638" customFormat="false" ht="15.75" hidden="false" customHeight="false" outlineLevel="0" collapsed="false">
      <c r="B638" s="50"/>
      <c r="C638" s="29"/>
      <c r="D638" s="85"/>
    </row>
    <row r="639" customFormat="false" ht="15.75" hidden="false" customHeight="false" outlineLevel="0" collapsed="false">
      <c r="B639" s="50"/>
      <c r="C639" s="29"/>
      <c r="D639" s="85"/>
    </row>
    <row r="640" customFormat="false" ht="15.75" hidden="false" customHeight="false" outlineLevel="0" collapsed="false">
      <c r="B640" s="50"/>
      <c r="C640" s="29"/>
      <c r="D640" s="85"/>
    </row>
    <row r="641" customFormat="false" ht="15.75" hidden="false" customHeight="false" outlineLevel="0" collapsed="false">
      <c r="B641" s="50"/>
      <c r="C641" s="29"/>
      <c r="D641" s="85"/>
    </row>
    <row r="642" customFormat="false" ht="15.75" hidden="false" customHeight="false" outlineLevel="0" collapsed="false">
      <c r="B642" s="50"/>
      <c r="C642" s="29"/>
      <c r="D642" s="85"/>
    </row>
    <row r="643" customFormat="false" ht="15.75" hidden="false" customHeight="false" outlineLevel="0" collapsed="false">
      <c r="B643" s="50"/>
      <c r="C643" s="29"/>
      <c r="D643" s="85"/>
    </row>
    <row r="644" customFormat="false" ht="15.75" hidden="false" customHeight="false" outlineLevel="0" collapsed="false">
      <c r="B644" s="50"/>
      <c r="C644" s="29"/>
      <c r="D644" s="85"/>
    </row>
    <row r="645" customFormat="false" ht="15.75" hidden="false" customHeight="false" outlineLevel="0" collapsed="false">
      <c r="B645" s="50"/>
      <c r="C645" s="29"/>
      <c r="D645" s="85"/>
    </row>
    <row r="646" customFormat="false" ht="15.75" hidden="false" customHeight="false" outlineLevel="0" collapsed="false">
      <c r="B646" s="50"/>
      <c r="C646" s="29"/>
      <c r="D646" s="85"/>
    </row>
    <row r="647" customFormat="false" ht="15.75" hidden="false" customHeight="false" outlineLevel="0" collapsed="false">
      <c r="B647" s="50"/>
      <c r="C647" s="29"/>
      <c r="D647" s="85"/>
    </row>
    <row r="648" customFormat="false" ht="15.75" hidden="false" customHeight="false" outlineLevel="0" collapsed="false">
      <c r="B648" s="50"/>
      <c r="C648" s="29"/>
      <c r="D648" s="85"/>
    </row>
    <row r="649" customFormat="false" ht="15.75" hidden="false" customHeight="false" outlineLevel="0" collapsed="false">
      <c r="B649" s="50"/>
      <c r="C649" s="29"/>
      <c r="D649" s="85"/>
    </row>
    <row r="650" customFormat="false" ht="15.75" hidden="false" customHeight="false" outlineLevel="0" collapsed="false">
      <c r="B650" s="50"/>
      <c r="C650" s="29"/>
      <c r="D650" s="85"/>
    </row>
    <row r="651" customFormat="false" ht="15.75" hidden="false" customHeight="false" outlineLevel="0" collapsed="false">
      <c r="B651" s="50"/>
      <c r="C651" s="29"/>
      <c r="D651" s="85"/>
    </row>
    <row r="652" customFormat="false" ht="15.75" hidden="false" customHeight="false" outlineLevel="0" collapsed="false">
      <c r="B652" s="50"/>
      <c r="C652" s="29"/>
      <c r="D652" s="85"/>
    </row>
    <row r="653" customFormat="false" ht="15.75" hidden="false" customHeight="false" outlineLevel="0" collapsed="false">
      <c r="B653" s="50"/>
      <c r="C653" s="29"/>
      <c r="D653" s="85"/>
    </row>
    <row r="654" customFormat="false" ht="15.75" hidden="false" customHeight="false" outlineLevel="0" collapsed="false">
      <c r="B654" s="50"/>
      <c r="C654" s="29"/>
      <c r="D654" s="85"/>
    </row>
    <row r="655" customFormat="false" ht="15.75" hidden="false" customHeight="false" outlineLevel="0" collapsed="false">
      <c r="B655" s="50"/>
      <c r="C655" s="29"/>
      <c r="D655" s="85"/>
    </row>
    <row r="656" customFormat="false" ht="15.75" hidden="false" customHeight="false" outlineLevel="0" collapsed="false">
      <c r="B656" s="50"/>
      <c r="C656" s="29"/>
      <c r="D656" s="85"/>
    </row>
    <row r="657" customFormat="false" ht="15.75" hidden="false" customHeight="false" outlineLevel="0" collapsed="false">
      <c r="B657" s="50"/>
      <c r="C657" s="29"/>
      <c r="D657" s="85"/>
    </row>
    <row r="658" customFormat="false" ht="15.75" hidden="false" customHeight="false" outlineLevel="0" collapsed="false">
      <c r="B658" s="50"/>
      <c r="C658" s="29"/>
      <c r="D658" s="85"/>
    </row>
    <row r="659" customFormat="false" ht="15.75" hidden="false" customHeight="false" outlineLevel="0" collapsed="false">
      <c r="B659" s="50"/>
      <c r="C659" s="29"/>
      <c r="D659" s="85"/>
    </row>
    <row r="660" customFormat="false" ht="15.75" hidden="false" customHeight="false" outlineLevel="0" collapsed="false">
      <c r="B660" s="50"/>
      <c r="C660" s="29"/>
      <c r="D660" s="85"/>
    </row>
    <row r="661" customFormat="false" ht="15.75" hidden="false" customHeight="false" outlineLevel="0" collapsed="false">
      <c r="B661" s="50"/>
      <c r="C661" s="29"/>
      <c r="D661" s="85"/>
    </row>
    <row r="662" customFormat="false" ht="15.75" hidden="false" customHeight="false" outlineLevel="0" collapsed="false">
      <c r="B662" s="50"/>
      <c r="C662" s="29"/>
      <c r="D662" s="85"/>
    </row>
    <row r="663" customFormat="false" ht="15.75" hidden="false" customHeight="false" outlineLevel="0" collapsed="false">
      <c r="B663" s="50"/>
      <c r="C663" s="29"/>
      <c r="D663" s="85"/>
    </row>
    <row r="664" customFormat="false" ht="15.75" hidden="false" customHeight="false" outlineLevel="0" collapsed="false">
      <c r="B664" s="50"/>
      <c r="C664" s="29"/>
      <c r="D664" s="85"/>
    </row>
    <row r="665" customFormat="false" ht="15.75" hidden="false" customHeight="false" outlineLevel="0" collapsed="false">
      <c r="B665" s="50"/>
      <c r="C665" s="29"/>
      <c r="D665" s="85"/>
    </row>
    <row r="666" customFormat="false" ht="15.75" hidden="false" customHeight="false" outlineLevel="0" collapsed="false">
      <c r="B666" s="50"/>
      <c r="C666" s="29"/>
      <c r="D666" s="85"/>
    </row>
    <row r="667" customFormat="false" ht="15.75" hidden="false" customHeight="false" outlineLevel="0" collapsed="false">
      <c r="B667" s="50"/>
      <c r="C667" s="29"/>
      <c r="D667" s="85"/>
    </row>
    <row r="668" customFormat="false" ht="15.75" hidden="false" customHeight="false" outlineLevel="0" collapsed="false">
      <c r="B668" s="50"/>
      <c r="C668" s="29"/>
      <c r="D668" s="85"/>
    </row>
    <row r="669" customFormat="false" ht="15.75" hidden="false" customHeight="false" outlineLevel="0" collapsed="false">
      <c r="B669" s="50"/>
      <c r="C669" s="29"/>
      <c r="D669" s="85"/>
    </row>
    <row r="670" customFormat="false" ht="15.75" hidden="false" customHeight="false" outlineLevel="0" collapsed="false">
      <c r="B670" s="50"/>
      <c r="C670" s="29"/>
      <c r="D670" s="85"/>
    </row>
    <row r="671" customFormat="false" ht="15.75" hidden="false" customHeight="false" outlineLevel="0" collapsed="false">
      <c r="B671" s="50"/>
      <c r="C671" s="29"/>
      <c r="D671" s="85"/>
    </row>
    <row r="672" customFormat="false" ht="15.75" hidden="false" customHeight="false" outlineLevel="0" collapsed="false">
      <c r="B672" s="50"/>
      <c r="C672" s="29"/>
      <c r="D672" s="85"/>
    </row>
    <row r="673" customFormat="false" ht="15.75" hidden="false" customHeight="false" outlineLevel="0" collapsed="false">
      <c r="B673" s="50"/>
      <c r="C673" s="29"/>
      <c r="D673" s="85"/>
    </row>
    <row r="674" customFormat="false" ht="15.75" hidden="false" customHeight="false" outlineLevel="0" collapsed="false">
      <c r="B674" s="50"/>
      <c r="C674" s="29"/>
      <c r="D674" s="85"/>
    </row>
    <row r="675" customFormat="false" ht="15.75" hidden="false" customHeight="false" outlineLevel="0" collapsed="false">
      <c r="B675" s="50"/>
      <c r="C675" s="29"/>
      <c r="D675" s="85"/>
    </row>
    <row r="676" customFormat="false" ht="15.75" hidden="false" customHeight="false" outlineLevel="0" collapsed="false">
      <c r="B676" s="50"/>
      <c r="C676" s="29"/>
      <c r="D676" s="85"/>
    </row>
    <row r="677" customFormat="false" ht="15.75" hidden="false" customHeight="false" outlineLevel="0" collapsed="false">
      <c r="B677" s="50"/>
      <c r="C677" s="29"/>
      <c r="D677" s="85"/>
    </row>
    <row r="678" customFormat="false" ht="15.75" hidden="false" customHeight="false" outlineLevel="0" collapsed="false">
      <c r="B678" s="50"/>
      <c r="C678" s="29"/>
      <c r="D678" s="85"/>
    </row>
    <row r="679" customFormat="false" ht="15.75" hidden="false" customHeight="false" outlineLevel="0" collapsed="false">
      <c r="B679" s="50"/>
      <c r="C679" s="29"/>
      <c r="D679" s="85"/>
    </row>
    <row r="680" customFormat="false" ht="15.75" hidden="false" customHeight="false" outlineLevel="0" collapsed="false">
      <c r="B680" s="50"/>
      <c r="C680" s="29"/>
      <c r="D680" s="85"/>
    </row>
    <row r="681" customFormat="false" ht="15.75" hidden="false" customHeight="false" outlineLevel="0" collapsed="false">
      <c r="B681" s="50"/>
      <c r="C681" s="29"/>
      <c r="D681" s="85"/>
    </row>
    <row r="682" customFormat="false" ht="15.75" hidden="false" customHeight="false" outlineLevel="0" collapsed="false">
      <c r="B682" s="50"/>
      <c r="C682" s="29"/>
      <c r="D682" s="85"/>
    </row>
    <row r="683" customFormat="false" ht="15.75" hidden="false" customHeight="false" outlineLevel="0" collapsed="false">
      <c r="B683" s="50"/>
      <c r="C683" s="29"/>
      <c r="D683" s="85"/>
    </row>
    <row r="684" customFormat="false" ht="15.75" hidden="false" customHeight="false" outlineLevel="0" collapsed="false">
      <c r="B684" s="50"/>
      <c r="C684" s="29"/>
      <c r="D684" s="85"/>
    </row>
    <row r="685" customFormat="false" ht="15.75" hidden="false" customHeight="false" outlineLevel="0" collapsed="false">
      <c r="B685" s="50"/>
      <c r="C685" s="29"/>
      <c r="D685" s="85"/>
    </row>
    <row r="686" customFormat="false" ht="15.75" hidden="false" customHeight="false" outlineLevel="0" collapsed="false">
      <c r="B686" s="50"/>
      <c r="C686" s="29"/>
      <c r="D686" s="85"/>
    </row>
    <row r="687" customFormat="false" ht="15.75" hidden="false" customHeight="false" outlineLevel="0" collapsed="false">
      <c r="B687" s="50"/>
      <c r="C687" s="29"/>
      <c r="D687" s="85"/>
    </row>
    <row r="688" customFormat="false" ht="15.75" hidden="false" customHeight="false" outlineLevel="0" collapsed="false">
      <c r="B688" s="50"/>
      <c r="C688" s="29"/>
      <c r="D688" s="85"/>
    </row>
    <row r="689" customFormat="false" ht="15.75" hidden="false" customHeight="false" outlineLevel="0" collapsed="false">
      <c r="B689" s="50"/>
      <c r="C689" s="29"/>
      <c r="D689" s="85"/>
    </row>
    <row r="690" customFormat="false" ht="15.75" hidden="false" customHeight="false" outlineLevel="0" collapsed="false">
      <c r="B690" s="50"/>
      <c r="C690" s="29"/>
      <c r="D690" s="85"/>
    </row>
    <row r="691" customFormat="false" ht="15.75" hidden="false" customHeight="false" outlineLevel="0" collapsed="false">
      <c r="B691" s="50"/>
      <c r="C691" s="29"/>
      <c r="D691" s="85"/>
    </row>
    <row r="692" customFormat="false" ht="15.75" hidden="false" customHeight="false" outlineLevel="0" collapsed="false">
      <c r="B692" s="50"/>
      <c r="C692" s="29"/>
      <c r="D692" s="85"/>
    </row>
    <row r="693" customFormat="false" ht="15.75" hidden="false" customHeight="false" outlineLevel="0" collapsed="false">
      <c r="B693" s="50"/>
      <c r="C693" s="29"/>
      <c r="D693" s="85"/>
    </row>
    <row r="694" customFormat="false" ht="15.75" hidden="false" customHeight="false" outlineLevel="0" collapsed="false">
      <c r="B694" s="50"/>
      <c r="C694" s="29"/>
      <c r="D694" s="85"/>
    </row>
    <row r="695" customFormat="false" ht="15.75" hidden="false" customHeight="false" outlineLevel="0" collapsed="false">
      <c r="B695" s="50"/>
      <c r="C695" s="29"/>
      <c r="D695" s="85"/>
    </row>
    <row r="696" customFormat="false" ht="15.75" hidden="false" customHeight="false" outlineLevel="0" collapsed="false">
      <c r="B696" s="50"/>
      <c r="C696" s="29"/>
      <c r="D696" s="85"/>
    </row>
    <row r="697" customFormat="false" ht="15.75" hidden="false" customHeight="false" outlineLevel="0" collapsed="false">
      <c r="B697" s="50"/>
      <c r="C697" s="29"/>
      <c r="D697" s="85"/>
    </row>
    <row r="698" customFormat="false" ht="15.75" hidden="false" customHeight="false" outlineLevel="0" collapsed="false">
      <c r="B698" s="50"/>
      <c r="C698" s="29"/>
      <c r="D698" s="85"/>
    </row>
    <row r="699" customFormat="false" ht="15.75" hidden="false" customHeight="false" outlineLevel="0" collapsed="false">
      <c r="B699" s="50"/>
      <c r="C699" s="29"/>
      <c r="D699" s="85"/>
    </row>
    <row r="700" customFormat="false" ht="15.75" hidden="false" customHeight="false" outlineLevel="0" collapsed="false">
      <c r="B700" s="50"/>
      <c r="C700" s="29"/>
      <c r="D700" s="85"/>
    </row>
    <row r="701" customFormat="false" ht="15.75" hidden="false" customHeight="false" outlineLevel="0" collapsed="false">
      <c r="B701" s="50"/>
      <c r="C701" s="29"/>
      <c r="D701" s="85"/>
    </row>
    <row r="702" customFormat="false" ht="15.75" hidden="false" customHeight="false" outlineLevel="0" collapsed="false">
      <c r="B702" s="50"/>
      <c r="C702" s="29"/>
      <c r="D702" s="85"/>
    </row>
    <row r="703" customFormat="false" ht="15.75" hidden="false" customHeight="false" outlineLevel="0" collapsed="false">
      <c r="B703" s="50"/>
      <c r="C703" s="29"/>
      <c r="D703" s="85"/>
    </row>
    <row r="704" customFormat="false" ht="15.75" hidden="false" customHeight="false" outlineLevel="0" collapsed="false">
      <c r="B704" s="50"/>
      <c r="C704" s="29"/>
      <c r="D704" s="85"/>
    </row>
    <row r="705" customFormat="false" ht="15.75" hidden="false" customHeight="false" outlineLevel="0" collapsed="false">
      <c r="B705" s="50"/>
      <c r="C705" s="29"/>
      <c r="D705" s="85"/>
    </row>
    <row r="706" customFormat="false" ht="15.75" hidden="false" customHeight="false" outlineLevel="0" collapsed="false">
      <c r="B706" s="50"/>
      <c r="C706" s="29"/>
      <c r="D706" s="85"/>
    </row>
    <row r="707" customFormat="false" ht="15.75" hidden="false" customHeight="false" outlineLevel="0" collapsed="false">
      <c r="B707" s="50"/>
      <c r="C707" s="29"/>
      <c r="D707" s="85"/>
    </row>
    <row r="708" customFormat="false" ht="15.75" hidden="false" customHeight="false" outlineLevel="0" collapsed="false">
      <c r="B708" s="50"/>
      <c r="C708" s="29"/>
      <c r="D708" s="85"/>
    </row>
    <row r="709" customFormat="false" ht="15.75" hidden="false" customHeight="false" outlineLevel="0" collapsed="false">
      <c r="B709" s="50"/>
      <c r="C709" s="29"/>
      <c r="D709" s="85"/>
    </row>
    <row r="710" customFormat="false" ht="15.75" hidden="false" customHeight="false" outlineLevel="0" collapsed="false">
      <c r="B710" s="50"/>
      <c r="C710" s="29"/>
      <c r="D710" s="85"/>
    </row>
    <row r="711" customFormat="false" ht="15.75" hidden="false" customHeight="false" outlineLevel="0" collapsed="false">
      <c r="B711" s="50"/>
      <c r="C711" s="29"/>
      <c r="D711" s="85"/>
    </row>
    <row r="712" customFormat="false" ht="15.75" hidden="false" customHeight="false" outlineLevel="0" collapsed="false">
      <c r="B712" s="50"/>
      <c r="C712" s="29"/>
      <c r="D712" s="85"/>
    </row>
    <row r="713" customFormat="false" ht="15.75" hidden="false" customHeight="false" outlineLevel="0" collapsed="false">
      <c r="B713" s="50"/>
      <c r="C713" s="29"/>
      <c r="D713" s="85"/>
    </row>
    <row r="714" customFormat="false" ht="15.75" hidden="false" customHeight="false" outlineLevel="0" collapsed="false">
      <c r="B714" s="50"/>
      <c r="C714" s="29"/>
      <c r="D714" s="85"/>
    </row>
    <row r="715" customFormat="false" ht="15.75" hidden="false" customHeight="false" outlineLevel="0" collapsed="false">
      <c r="B715" s="50"/>
      <c r="C715" s="29"/>
      <c r="D715" s="85"/>
    </row>
    <row r="716" customFormat="false" ht="15.75" hidden="false" customHeight="false" outlineLevel="0" collapsed="false">
      <c r="B716" s="50"/>
      <c r="C716" s="29"/>
      <c r="D716" s="85"/>
    </row>
    <row r="717" customFormat="false" ht="15.75" hidden="false" customHeight="false" outlineLevel="0" collapsed="false">
      <c r="B717" s="50"/>
      <c r="C717" s="29"/>
      <c r="D717" s="85"/>
    </row>
    <row r="718" customFormat="false" ht="15.75" hidden="false" customHeight="false" outlineLevel="0" collapsed="false">
      <c r="B718" s="50"/>
      <c r="C718" s="29"/>
      <c r="D718" s="85"/>
    </row>
    <row r="719" customFormat="false" ht="15.75" hidden="false" customHeight="false" outlineLevel="0" collapsed="false">
      <c r="B719" s="50"/>
      <c r="C719" s="29"/>
      <c r="D719" s="85"/>
    </row>
    <row r="720" customFormat="false" ht="15.75" hidden="false" customHeight="false" outlineLevel="0" collapsed="false">
      <c r="B720" s="50"/>
      <c r="C720" s="29"/>
      <c r="D720" s="85"/>
    </row>
    <row r="721" customFormat="false" ht="15.75" hidden="false" customHeight="false" outlineLevel="0" collapsed="false">
      <c r="B721" s="50"/>
      <c r="C721" s="29"/>
      <c r="D721" s="85"/>
    </row>
    <row r="722" customFormat="false" ht="15.75" hidden="false" customHeight="false" outlineLevel="0" collapsed="false">
      <c r="B722" s="50"/>
      <c r="C722" s="29"/>
      <c r="D722" s="85"/>
    </row>
    <row r="723" customFormat="false" ht="15.75" hidden="false" customHeight="false" outlineLevel="0" collapsed="false">
      <c r="B723" s="50"/>
      <c r="C723" s="29"/>
      <c r="D723" s="85"/>
    </row>
    <row r="724" customFormat="false" ht="15.75" hidden="false" customHeight="false" outlineLevel="0" collapsed="false">
      <c r="B724" s="50"/>
      <c r="C724" s="29"/>
      <c r="D724" s="85"/>
    </row>
    <row r="725" customFormat="false" ht="15.75" hidden="false" customHeight="false" outlineLevel="0" collapsed="false">
      <c r="B725" s="50"/>
      <c r="C725" s="29"/>
      <c r="D725" s="85"/>
    </row>
    <row r="726" customFormat="false" ht="15.75" hidden="false" customHeight="false" outlineLevel="0" collapsed="false">
      <c r="B726" s="50"/>
      <c r="C726" s="29"/>
      <c r="D726" s="85"/>
    </row>
    <row r="727" customFormat="false" ht="15.75" hidden="false" customHeight="false" outlineLevel="0" collapsed="false">
      <c r="B727" s="50"/>
      <c r="C727" s="29"/>
      <c r="D727" s="85"/>
    </row>
    <row r="728" customFormat="false" ht="15.75" hidden="false" customHeight="false" outlineLevel="0" collapsed="false">
      <c r="B728" s="50"/>
      <c r="C728" s="29"/>
      <c r="D728" s="85"/>
    </row>
    <row r="729" customFormat="false" ht="15.75" hidden="false" customHeight="false" outlineLevel="0" collapsed="false">
      <c r="B729" s="50"/>
      <c r="C729" s="29"/>
      <c r="D729" s="85"/>
    </row>
    <row r="730" customFormat="false" ht="15.75" hidden="false" customHeight="false" outlineLevel="0" collapsed="false">
      <c r="B730" s="50"/>
      <c r="C730" s="29"/>
      <c r="D730" s="85"/>
    </row>
    <row r="731" customFormat="false" ht="15.75" hidden="false" customHeight="false" outlineLevel="0" collapsed="false">
      <c r="B731" s="50"/>
      <c r="C731" s="29"/>
      <c r="D731" s="85"/>
    </row>
    <row r="732" customFormat="false" ht="15.75" hidden="false" customHeight="false" outlineLevel="0" collapsed="false">
      <c r="B732" s="50"/>
      <c r="C732" s="29"/>
      <c r="D732" s="85"/>
    </row>
    <row r="733" customFormat="false" ht="15.75" hidden="false" customHeight="false" outlineLevel="0" collapsed="false">
      <c r="B733" s="50"/>
      <c r="C733" s="29"/>
      <c r="D733" s="85"/>
    </row>
    <row r="734" customFormat="false" ht="15.75" hidden="false" customHeight="false" outlineLevel="0" collapsed="false">
      <c r="B734" s="50"/>
      <c r="C734" s="29"/>
      <c r="D734" s="85"/>
    </row>
    <row r="735" customFormat="false" ht="15.75" hidden="false" customHeight="false" outlineLevel="0" collapsed="false">
      <c r="B735" s="50"/>
      <c r="C735" s="29"/>
      <c r="D735" s="85"/>
    </row>
    <row r="736" customFormat="false" ht="15.75" hidden="false" customHeight="false" outlineLevel="0" collapsed="false">
      <c r="B736" s="50"/>
      <c r="C736" s="29"/>
      <c r="D736" s="85"/>
    </row>
    <row r="737" customFormat="false" ht="15.75" hidden="false" customHeight="false" outlineLevel="0" collapsed="false">
      <c r="B737" s="50"/>
      <c r="C737" s="29"/>
      <c r="D737" s="85"/>
    </row>
    <row r="738" customFormat="false" ht="15.75" hidden="false" customHeight="false" outlineLevel="0" collapsed="false">
      <c r="B738" s="50"/>
      <c r="C738" s="29"/>
      <c r="D738" s="85"/>
    </row>
    <row r="739" customFormat="false" ht="15.75" hidden="false" customHeight="false" outlineLevel="0" collapsed="false">
      <c r="B739" s="50"/>
      <c r="C739" s="29"/>
      <c r="D739" s="85"/>
    </row>
    <row r="740" customFormat="false" ht="15.75" hidden="false" customHeight="false" outlineLevel="0" collapsed="false">
      <c r="B740" s="50"/>
      <c r="C740" s="29"/>
      <c r="D740" s="85"/>
    </row>
    <row r="741" customFormat="false" ht="15.75" hidden="false" customHeight="false" outlineLevel="0" collapsed="false">
      <c r="B741" s="50"/>
      <c r="C741" s="29"/>
      <c r="D741" s="85"/>
    </row>
    <row r="742" customFormat="false" ht="15.75" hidden="false" customHeight="false" outlineLevel="0" collapsed="false">
      <c r="B742" s="50"/>
      <c r="C742" s="29"/>
      <c r="D742" s="85"/>
    </row>
    <row r="743" customFormat="false" ht="15.75" hidden="false" customHeight="false" outlineLevel="0" collapsed="false">
      <c r="B743" s="50"/>
      <c r="C743" s="29"/>
      <c r="D743" s="85"/>
    </row>
    <row r="744" customFormat="false" ht="15.75" hidden="false" customHeight="false" outlineLevel="0" collapsed="false">
      <c r="B744" s="50"/>
      <c r="C744" s="29"/>
      <c r="D744" s="85"/>
    </row>
    <row r="745" customFormat="false" ht="15.75" hidden="false" customHeight="false" outlineLevel="0" collapsed="false">
      <c r="B745" s="50"/>
      <c r="C745" s="29"/>
      <c r="D745" s="85"/>
    </row>
    <row r="746" customFormat="false" ht="15.75" hidden="false" customHeight="false" outlineLevel="0" collapsed="false">
      <c r="B746" s="50"/>
      <c r="C746" s="29"/>
      <c r="D746" s="85"/>
    </row>
    <row r="747" customFormat="false" ht="15.75" hidden="false" customHeight="false" outlineLevel="0" collapsed="false">
      <c r="B747" s="50"/>
      <c r="C747" s="29"/>
      <c r="D747" s="85"/>
    </row>
    <row r="748" customFormat="false" ht="15.75" hidden="false" customHeight="false" outlineLevel="0" collapsed="false">
      <c r="B748" s="50"/>
      <c r="C748" s="29"/>
      <c r="D748" s="85"/>
    </row>
    <row r="749" customFormat="false" ht="15.75" hidden="false" customHeight="false" outlineLevel="0" collapsed="false">
      <c r="B749" s="50"/>
      <c r="C749" s="29"/>
      <c r="D749" s="85"/>
    </row>
    <row r="750" customFormat="false" ht="15.75" hidden="false" customHeight="false" outlineLevel="0" collapsed="false">
      <c r="B750" s="50"/>
      <c r="C750" s="29"/>
      <c r="D750" s="85"/>
    </row>
    <row r="751" customFormat="false" ht="15.75" hidden="false" customHeight="false" outlineLevel="0" collapsed="false">
      <c r="B751" s="50"/>
      <c r="C751" s="29"/>
      <c r="D751" s="85"/>
    </row>
    <row r="752" customFormat="false" ht="15.75" hidden="false" customHeight="false" outlineLevel="0" collapsed="false">
      <c r="B752" s="50"/>
      <c r="C752" s="29"/>
      <c r="D752" s="85"/>
    </row>
    <row r="753" customFormat="false" ht="15.75" hidden="false" customHeight="false" outlineLevel="0" collapsed="false">
      <c r="B753" s="50"/>
      <c r="C753" s="29"/>
      <c r="D753" s="85"/>
    </row>
    <row r="754" customFormat="false" ht="15.75" hidden="false" customHeight="false" outlineLevel="0" collapsed="false">
      <c r="B754" s="50"/>
      <c r="C754" s="29"/>
      <c r="D754" s="85"/>
    </row>
    <row r="755" customFormat="false" ht="15.75" hidden="false" customHeight="false" outlineLevel="0" collapsed="false">
      <c r="B755" s="50"/>
      <c r="C755" s="29"/>
      <c r="D755" s="85"/>
    </row>
    <row r="756" customFormat="false" ht="15.75" hidden="false" customHeight="false" outlineLevel="0" collapsed="false">
      <c r="B756" s="50"/>
      <c r="C756" s="29"/>
      <c r="D756" s="85"/>
    </row>
    <row r="757" customFormat="false" ht="15.75" hidden="false" customHeight="false" outlineLevel="0" collapsed="false">
      <c r="B757" s="50"/>
      <c r="C757" s="29"/>
      <c r="D757" s="85"/>
    </row>
    <row r="758" customFormat="false" ht="15.75" hidden="false" customHeight="false" outlineLevel="0" collapsed="false">
      <c r="B758" s="50"/>
      <c r="C758" s="29"/>
      <c r="D758" s="85"/>
    </row>
    <row r="759" customFormat="false" ht="15.75" hidden="false" customHeight="false" outlineLevel="0" collapsed="false">
      <c r="B759" s="50"/>
      <c r="C759" s="29"/>
      <c r="D759" s="85"/>
    </row>
    <row r="760" customFormat="false" ht="15.75" hidden="false" customHeight="false" outlineLevel="0" collapsed="false">
      <c r="B760" s="50"/>
      <c r="C760" s="29"/>
      <c r="D760" s="85"/>
    </row>
    <row r="761" customFormat="false" ht="15.75" hidden="false" customHeight="false" outlineLevel="0" collapsed="false">
      <c r="B761" s="50"/>
      <c r="C761" s="29"/>
      <c r="D761" s="85"/>
    </row>
    <row r="762" customFormat="false" ht="15.75" hidden="false" customHeight="false" outlineLevel="0" collapsed="false">
      <c r="B762" s="50"/>
      <c r="C762" s="29"/>
      <c r="D762" s="85"/>
    </row>
    <row r="763" customFormat="false" ht="15.75" hidden="false" customHeight="false" outlineLevel="0" collapsed="false">
      <c r="B763" s="50"/>
      <c r="C763" s="29"/>
      <c r="D763" s="85"/>
    </row>
    <row r="764" customFormat="false" ht="15.75" hidden="false" customHeight="false" outlineLevel="0" collapsed="false">
      <c r="B764" s="50"/>
      <c r="C764" s="29"/>
      <c r="D764" s="85"/>
    </row>
    <row r="765" customFormat="false" ht="15.75" hidden="false" customHeight="false" outlineLevel="0" collapsed="false">
      <c r="B765" s="50"/>
      <c r="C765" s="29"/>
      <c r="D765" s="85"/>
    </row>
    <row r="766" customFormat="false" ht="15.75" hidden="false" customHeight="false" outlineLevel="0" collapsed="false">
      <c r="B766" s="50"/>
      <c r="C766" s="29"/>
      <c r="D766" s="85"/>
    </row>
    <row r="767" customFormat="false" ht="15.75" hidden="false" customHeight="false" outlineLevel="0" collapsed="false">
      <c r="B767" s="50"/>
      <c r="C767" s="29"/>
      <c r="D767" s="85"/>
    </row>
    <row r="768" customFormat="false" ht="15.75" hidden="false" customHeight="false" outlineLevel="0" collapsed="false">
      <c r="B768" s="50"/>
      <c r="C768" s="29"/>
      <c r="D768" s="85"/>
    </row>
    <row r="769" customFormat="false" ht="15.75" hidden="false" customHeight="false" outlineLevel="0" collapsed="false">
      <c r="B769" s="50"/>
      <c r="C769" s="29"/>
      <c r="D769" s="85"/>
    </row>
    <row r="770" customFormat="false" ht="15.75" hidden="false" customHeight="false" outlineLevel="0" collapsed="false">
      <c r="B770" s="50"/>
      <c r="C770" s="29"/>
      <c r="D770" s="85"/>
    </row>
    <row r="771" customFormat="false" ht="15.75" hidden="false" customHeight="false" outlineLevel="0" collapsed="false">
      <c r="B771" s="50"/>
      <c r="C771" s="29"/>
      <c r="D771" s="85"/>
    </row>
    <row r="772" customFormat="false" ht="15.75" hidden="false" customHeight="false" outlineLevel="0" collapsed="false">
      <c r="B772" s="50"/>
      <c r="C772" s="29"/>
      <c r="D772" s="85"/>
    </row>
    <row r="773" customFormat="false" ht="15.75" hidden="false" customHeight="false" outlineLevel="0" collapsed="false">
      <c r="B773" s="50"/>
      <c r="C773" s="29"/>
      <c r="D773" s="85"/>
    </row>
    <row r="774" customFormat="false" ht="15.75" hidden="false" customHeight="false" outlineLevel="0" collapsed="false">
      <c r="B774" s="50"/>
      <c r="C774" s="29"/>
      <c r="D774" s="85"/>
    </row>
    <row r="775" customFormat="false" ht="15.75" hidden="false" customHeight="false" outlineLevel="0" collapsed="false">
      <c r="B775" s="50"/>
      <c r="C775" s="29"/>
      <c r="D775" s="85"/>
    </row>
    <row r="776" customFormat="false" ht="15.75" hidden="false" customHeight="false" outlineLevel="0" collapsed="false">
      <c r="B776" s="50"/>
      <c r="C776" s="29"/>
      <c r="D776" s="85"/>
    </row>
    <row r="777" customFormat="false" ht="15.75" hidden="false" customHeight="false" outlineLevel="0" collapsed="false">
      <c r="B777" s="50"/>
      <c r="C777" s="29"/>
      <c r="D777" s="85"/>
    </row>
    <row r="778" customFormat="false" ht="15.75" hidden="false" customHeight="false" outlineLevel="0" collapsed="false">
      <c r="B778" s="50"/>
      <c r="C778" s="29"/>
      <c r="D778" s="85"/>
    </row>
    <row r="779" customFormat="false" ht="15.75" hidden="false" customHeight="false" outlineLevel="0" collapsed="false">
      <c r="B779" s="50"/>
      <c r="C779" s="29"/>
      <c r="D779" s="85"/>
    </row>
    <row r="780" customFormat="false" ht="15.75" hidden="false" customHeight="false" outlineLevel="0" collapsed="false">
      <c r="B780" s="50"/>
      <c r="C780" s="29"/>
      <c r="D780" s="85"/>
    </row>
    <row r="781" customFormat="false" ht="15.75" hidden="false" customHeight="false" outlineLevel="0" collapsed="false">
      <c r="B781" s="50"/>
      <c r="C781" s="29"/>
      <c r="D781" s="85"/>
    </row>
    <row r="782" customFormat="false" ht="15.75" hidden="false" customHeight="false" outlineLevel="0" collapsed="false">
      <c r="B782" s="50"/>
      <c r="C782" s="29"/>
      <c r="D782" s="85"/>
    </row>
    <row r="783" customFormat="false" ht="15.75" hidden="false" customHeight="false" outlineLevel="0" collapsed="false">
      <c r="B783" s="50"/>
      <c r="C783" s="29"/>
      <c r="D783" s="85"/>
    </row>
    <row r="784" customFormat="false" ht="15.75" hidden="false" customHeight="false" outlineLevel="0" collapsed="false">
      <c r="B784" s="50"/>
      <c r="C784" s="29"/>
      <c r="D784" s="85"/>
    </row>
    <row r="785" customFormat="false" ht="15.75" hidden="false" customHeight="false" outlineLevel="0" collapsed="false">
      <c r="B785" s="50"/>
      <c r="C785" s="29"/>
      <c r="D785" s="85"/>
    </row>
    <row r="786" customFormat="false" ht="15.75" hidden="false" customHeight="false" outlineLevel="0" collapsed="false">
      <c r="B786" s="50"/>
      <c r="C786" s="29"/>
      <c r="D786" s="85"/>
    </row>
    <row r="787" customFormat="false" ht="15.75" hidden="false" customHeight="false" outlineLevel="0" collapsed="false">
      <c r="B787" s="50"/>
      <c r="C787" s="29"/>
      <c r="D787" s="85"/>
    </row>
    <row r="788" customFormat="false" ht="15.75" hidden="false" customHeight="false" outlineLevel="0" collapsed="false">
      <c r="B788" s="50"/>
      <c r="C788" s="29"/>
      <c r="D788" s="85"/>
    </row>
    <row r="789" customFormat="false" ht="15.75" hidden="false" customHeight="false" outlineLevel="0" collapsed="false">
      <c r="B789" s="50"/>
      <c r="C789" s="29"/>
      <c r="D789" s="85"/>
    </row>
    <row r="790" customFormat="false" ht="15.75" hidden="false" customHeight="false" outlineLevel="0" collapsed="false">
      <c r="B790" s="50"/>
      <c r="C790" s="29"/>
      <c r="D790" s="85"/>
    </row>
    <row r="791" customFormat="false" ht="15.75" hidden="false" customHeight="false" outlineLevel="0" collapsed="false">
      <c r="B791" s="50"/>
      <c r="C791" s="29"/>
      <c r="D791" s="85"/>
    </row>
    <row r="792" customFormat="false" ht="15.75" hidden="false" customHeight="false" outlineLevel="0" collapsed="false">
      <c r="B792" s="50"/>
      <c r="C792" s="29"/>
      <c r="D792" s="85"/>
    </row>
    <row r="793" customFormat="false" ht="15.75" hidden="false" customHeight="false" outlineLevel="0" collapsed="false">
      <c r="B793" s="50"/>
      <c r="C793" s="29"/>
      <c r="D793" s="85"/>
    </row>
    <row r="794" customFormat="false" ht="15.75" hidden="false" customHeight="false" outlineLevel="0" collapsed="false">
      <c r="B794" s="50"/>
      <c r="C794" s="29"/>
      <c r="D794" s="85"/>
    </row>
    <row r="795" customFormat="false" ht="15.75" hidden="false" customHeight="false" outlineLevel="0" collapsed="false">
      <c r="B795" s="50"/>
      <c r="C795" s="29"/>
      <c r="D795" s="85"/>
    </row>
    <row r="796" customFormat="false" ht="15.75" hidden="false" customHeight="false" outlineLevel="0" collapsed="false">
      <c r="B796" s="50"/>
      <c r="C796" s="29"/>
      <c r="D796" s="85"/>
    </row>
    <row r="797" customFormat="false" ht="15.75" hidden="false" customHeight="false" outlineLevel="0" collapsed="false">
      <c r="B797" s="50"/>
      <c r="C797" s="29"/>
      <c r="D797" s="85"/>
    </row>
    <row r="798" customFormat="false" ht="15.75" hidden="false" customHeight="false" outlineLevel="0" collapsed="false">
      <c r="B798" s="50"/>
      <c r="C798" s="29"/>
      <c r="D798" s="85"/>
    </row>
    <row r="799" customFormat="false" ht="15.75" hidden="false" customHeight="false" outlineLevel="0" collapsed="false">
      <c r="B799" s="50"/>
      <c r="C799" s="29"/>
      <c r="D799" s="85"/>
    </row>
    <row r="800" customFormat="false" ht="15.75" hidden="false" customHeight="false" outlineLevel="0" collapsed="false">
      <c r="B800" s="50"/>
      <c r="C800" s="29"/>
      <c r="D800" s="85"/>
    </row>
    <row r="801" customFormat="false" ht="15.75" hidden="false" customHeight="false" outlineLevel="0" collapsed="false">
      <c r="B801" s="50"/>
      <c r="C801" s="29"/>
      <c r="D801" s="85"/>
    </row>
    <row r="802" customFormat="false" ht="15.75" hidden="false" customHeight="false" outlineLevel="0" collapsed="false">
      <c r="B802" s="50"/>
      <c r="C802" s="29"/>
      <c r="D802" s="85"/>
    </row>
    <row r="803" customFormat="false" ht="15.75" hidden="false" customHeight="false" outlineLevel="0" collapsed="false">
      <c r="B803" s="50"/>
      <c r="C803" s="29"/>
      <c r="D803" s="85"/>
    </row>
    <row r="804" customFormat="false" ht="15.75" hidden="false" customHeight="false" outlineLevel="0" collapsed="false">
      <c r="B804" s="50"/>
      <c r="C804" s="29"/>
      <c r="D804" s="85"/>
    </row>
    <row r="805" customFormat="false" ht="15.75" hidden="false" customHeight="false" outlineLevel="0" collapsed="false">
      <c r="B805" s="50"/>
      <c r="C805" s="29"/>
      <c r="D805" s="85"/>
    </row>
    <row r="806" customFormat="false" ht="15.75" hidden="false" customHeight="false" outlineLevel="0" collapsed="false">
      <c r="B806" s="50"/>
      <c r="C806" s="29"/>
      <c r="D806" s="85"/>
    </row>
    <row r="807" customFormat="false" ht="15.75" hidden="false" customHeight="false" outlineLevel="0" collapsed="false">
      <c r="B807" s="50"/>
      <c r="C807" s="29"/>
      <c r="D807" s="85"/>
    </row>
    <row r="808" customFormat="false" ht="15.75" hidden="false" customHeight="false" outlineLevel="0" collapsed="false">
      <c r="B808" s="50"/>
      <c r="C808" s="29"/>
      <c r="D808" s="85"/>
    </row>
    <row r="809" customFormat="false" ht="15.75" hidden="false" customHeight="false" outlineLevel="0" collapsed="false">
      <c r="B809" s="50"/>
      <c r="C809" s="29"/>
      <c r="D809" s="85"/>
    </row>
    <row r="810" customFormat="false" ht="15.75" hidden="false" customHeight="false" outlineLevel="0" collapsed="false">
      <c r="B810" s="50"/>
      <c r="C810" s="29"/>
      <c r="D810" s="85"/>
    </row>
    <row r="811" customFormat="false" ht="15.75" hidden="false" customHeight="false" outlineLevel="0" collapsed="false">
      <c r="B811" s="50"/>
      <c r="C811" s="29"/>
      <c r="D811" s="85"/>
    </row>
    <row r="812" customFormat="false" ht="15.75" hidden="false" customHeight="false" outlineLevel="0" collapsed="false">
      <c r="B812" s="50"/>
      <c r="C812" s="29"/>
      <c r="D812" s="85"/>
    </row>
    <row r="813" customFormat="false" ht="15.75" hidden="false" customHeight="false" outlineLevel="0" collapsed="false">
      <c r="B813" s="50"/>
      <c r="C813" s="29"/>
      <c r="D813" s="85"/>
    </row>
    <row r="814" customFormat="false" ht="15.75" hidden="false" customHeight="false" outlineLevel="0" collapsed="false">
      <c r="B814" s="50"/>
      <c r="C814" s="29"/>
      <c r="D814" s="85"/>
    </row>
    <row r="815" customFormat="false" ht="15.75" hidden="false" customHeight="false" outlineLevel="0" collapsed="false">
      <c r="B815" s="50"/>
      <c r="C815" s="29"/>
      <c r="D815" s="85"/>
    </row>
    <row r="816" customFormat="false" ht="15.75" hidden="false" customHeight="false" outlineLevel="0" collapsed="false">
      <c r="B816" s="50"/>
      <c r="C816" s="29"/>
      <c r="D816" s="85"/>
    </row>
    <row r="817" customFormat="false" ht="15.75" hidden="false" customHeight="false" outlineLevel="0" collapsed="false">
      <c r="B817" s="50"/>
      <c r="C817" s="29"/>
      <c r="D817" s="85"/>
    </row>
    <row r="818" customFormat="false" ht="15.75" hidden="false" customHeight="false" outlineLevel="0" collapsed="false">
      <c r="B818" s="50"/>
      <c r="C818" s="29"/>
      <c r="D818" s="85"/>
    </row>
    <row r="819" customFormat="false" ht="15.75" hidden="false" customHeight="false" outlineLevel="0" collapsed="false">
      <c r="B819" s="50"/>
      <c r="C819" s="29"/>
      <c r="D819" s="85"/>
    </row>
    <row r="820" customFormat="false" ht="15.75" hidden="false" customHeight="false" outlineLevel="0" collapsed="false">
      <c r="B820" s="50"/>
      <c r="C820" s="29"/>
      <c r="D820" s="85"/>
    </row>
    <row r="821" customFormat="false" ht="15.75" hidden="false" customHeight="false" outlineLevel="0" collapsed="false">
      <c r="B821" s="50"/>
      <c r="C821" s="29"/>
      <c r="D821" s="85"/>
    </row>
    <row r="822" customFormat="false" ht="15.75" hidden="false" customHeight="false" outlineLevel="0" collapsed="false">
      <c r="B822" s="50"/>
      <c r="C822" s="29"/>
      <c r="D822" s="85"/>
    </row>
    <row r="823" customFormat="false" ht="15.75" hidden="false" customHeight="false" outlineLevel="0" collapsed="false">
      <c r="B823" s="50"/>
      <c r="C823" s="29"/>
      <c r="D823" s="85"/>
    </row>
    <row r="824" customFormat="false" ht="15.75" hidden="false" customHeight="false" outlineLevel="0" collapsed="false">
      <c r="B824" s="50"/>
      <c r="C824" s="29"/>
      <c r="D824" s="85"/>
    </row>
    <row r="825" customFormat="false" ht="15.75" hidden="false" customHeight="false" outlineLevel="0" collapsed="false">
      <c r="B825" s="50"/>
      <c r="C825" s="29"/>
      <c r="D825" s="85"/>
    </row>
    <row r="826" customFormat="false" ht="15.75" hidden="false" customHeight="false" outlineLevel="0" collapsed="false">
      <c r="B826" s="50"/>
      <c r="C826" s="29"/>
      <c r="D826" s="85"/>
    </row>
    <row r="827" customFormat="false" ht="15.75" hidden="false" customHeight="false" outlineLevel="0" collapsed="false">
      <c r="B827" s="50"/>
      <c r="C827" s="29"/>
      <c r="D827" s="85"/>
    </row>
    <row r="828" customFormat="false" ht="15.75" hidden="false" customHeight="false" outlineLevel="0" collapsed="false">
      <c r="B828" s="50"/>
      <c r="C828" s="29"/>
      <c r="D828" s="85"/>
    </row>
    <row r="829" customFormat="false" ht="15.75" hidden="false" customHeight="false" outlineLevel="0" collapsed="false">
      <c r="B829" s="50"/>
      <c r="C829" s="29"/>
      <c r="D829" s="85"/>
    </row>
    <row r="830" customFormat="false" ht="15.75" hidden="false" customHeight="false" outlineLevel="0" collapsed="false">
      <c r="B830" s="50"/>
      <c r="C830" s="29"/>
      <c r="D830" s="85"/>
    </row>
    <row r="831" customFormat="false" ht="15.75" hidden="false" customHeight="false" outlineLevel="0" collapsed="false">
      <c r="B831" s="50"/>
      <c r="C831" s="29"/>
      <c r="D831" s="85"/>
    </row>
    <row r="832" customFormat="false" ht="15.75" hidden="false" customHeight="false" outlineLevel="0" collapsed="false">
      <c r="B832" s="50"/>
      <c r="C832" s="29"/>
      <c r="D832" s="85"/>
    </row>
    <row r="833" customFormat="false" ht="15.75" hidden="false" customHeight="false" outlineLevel="0" collapsed="false">
      <c r="B833" s="50"/>
      <c r="C833" s="29"/>
      <c r="D833" s="85"/>
    </row>
    <row r="834" customFormat="false" ht="15.75" hidden="false" customHeight="false" outlineLevel="0" collapsed="false">
      <c r="B834" s="50"/>
      <c r="C834" s="29"/>
      <c r="D834" s="85"/>
    </row>
    <row r="835" customFormat="false" ht="15.75" hidden="false" customHeight="false" outlineLevel="0" collapsed="false">
      <c r="B835" s="50"/>
      <c r="C835" s="29"/>
      <c r="D835" s="85"/>
    </row>
    <row r="836" customFormat="false" ht="15.75" hidden="false" customHeight="false" outlineLevel="0" collapsed="false">
      <c r="B836" s="50"/>
      <c r="C836" s="29"/>
      <c r="D836" s="85"/>
    </row>
    <row r="837" customFormat="false" ht="15.75" hidden="false" customHeight="false" outlineLevel="0" collapsed="false">
      <c r="B837" s="50"/>
      <c r="C837" s="29"/>
      <c r="D837" s="85"/>
    </row>
    <row r="838" customFormat="false" ht="15.75" hidden="false" customHeight="false" outlineLevel="0" collapsed="false">
      <c r="B838" s="50"/>
      <c r="C838" s="29"/>
      <c r="D838" s="85"/>
    </row>
    <row r="839" customFormat="false" ht="15.75" hidden="false" customHeight="false" outlineLevel="0" collapsed="false">
      <c r="B839" s="50"/>
      <c r="C839" s="29"/>
      <c r="D839" s="85"/>
    </row>
    <row r="840" customFormat="false" ht="15.75" hidden="false" customHeight="false" outlineLevel="0" collapsed="false">
      <c r="B840" s="50"/>
      <c r="C840" s="29"/>
      <c r="D840" s="85"/>
    </row>
    <row r="841" customFormat="false" ht="15.75" hidden="false" customHeight="false" outlineLevel="0" collapsed="false">
      <c r="B841" s="50"/>
      <c r="C841" s="29"/>
      <c r="D841" s="85"/>
    </row>
    <row r="842" customFormat="false" ht="15.75" hidden="false" customHeight="false" outlineLevel="0" collapsed="false">
      <c r="B842" s="50"/>
      <c r="C842" s="29"/>
      <c r="D842" s="85"/>
    </row>
    <row r="843" customFormat="false" ht="15.75" hidden="false" customHeight="false" outlineLevel="0" collapsed="false">
      <c r="B843" s="50"/>
      <c r="C843" s="29"/>
      <c r="D843" s="85"/>
    </row>
    <row r="844" customFormat="false" ht="15.75" hidden="false" customHeight="false" outlineLevel="0" collapsed="false">
      <c r="B844" s="50"/>
      <c r="C844" s="29"/>
      <c r="D844" s="85"/>
    </row>
    <row r="845" customFormat="false" ht="15.75" hidden="false" customHeight="false" outlineLevel="0" collapsed="false">
      <c r="B845" s="50"/>
      <c r="C845" s="29"/>
      <c r="D845" s="85"/>
    </row>
    <row r="846" customFormat="false" ht="15.75" hidden="false" customHeight="false" outlineLevel="0" collapsed="false">
      <c r="B846" s="50"/>
      <c r="C846" s="29"/>
      <c r="D846" s="85"/>
    </row>
    <row r="847" customFormat="false" ht="15.75" hidden="false" customHeight="false" outlineLevel="0" collapsed="false">
      <c r="B847" s="50"/>
      <c r="C847" s="29"/>
      <c r="D847" s="85"/>
    </row>
    <row r="848" customFormat="false" ht="15.75" hidden="false" customHeight="false" outlineLevel="0" collapsed="false">
      <c r="B848" s="50"/>
      <c r="C848" s="29"/>
      <c r="D848" s="85"/>
    </row>
    <row r="849" customFormat="false" ht="15.75" hidden="false" customHeight="false" outlineLevel="0" collapsed="false">
      <c r="B849" s="50"/>
      <c r="C849" s="29"/>
      <c r="D849" s="85"/>
    </row>
    <row r="850" customFormat="false" ht="15.75" hidden="false" customHeight="false" outlineLevel="0" collapsed="false">
      <c r="B850" s="50"/>
      <c r="C850" s="29"/>
      <c r="D850" s="85"/>
    </row>
    <row r="851" customFormat="false" ht="15.75" hidden="false" customHeight="false" outlineLevel="0" collapsed="false">
      <c r="B851" s="50"/>
      <c r="C851" s="29"/>
      <c r="D851" s="85"/>
    </row>
    <row r="852" customFormat="false" ht="15.75" hidden="false" customHeight="false" outlineLevel="0" collapsed="false">
      <c r="B852" s="50"/>
      <c r="C852" s="29"/>
      <c r="D852" s="85"/>
    </row>
    <row r="853" customFormat="false" ht="15.75" hidden="false" customHeight="false" outlineLevel="0" collapsed="false">
      <c r="B853" s="50"/>
      <c r="C853" s="29"/>
      <c r="D853" s="85"/>
    </row>
    <row r="854" customFormat="false" ht="15.75" hidden="false" customHeight="false" outlineLevel="0" collapsed="false">
      <c r="B854" s="50"/>
      <c r="C854" s="29"/>
      <c r="D854" s="85"/>
    </row>
    <row r="855" customFormat="false" ht="15.75" hidden="false" customHeight="false" outlineLevel="0" collapsed="false">
      <c r="B855" s="50"/>
      <c r="C855" s="29"/>
      <c r="D855" s="85"/>
    </row>
    <row r="856" customFormat="false" ht="15.75" hidden="false" customHeight="false" outlineLevel="0" collapsed="false">
      <c r="B856" s="50"/>
      <c r="C856" s="29"/>
      <c r="D856" s="85"/>
    </row>
    <row r="857" customFormat="false" ht="15.75" hidden="false" customHeight="false" outlineLevel="0" collapsed="false">
      <c r="B857" s="50"/>
      <c r="C857" s="29"/>
      <c r="D857" s="85"/>
    </row>
    <row r="858" customFormat="false" ht="15.75" hidden="false" customHeight="false" outlineLevel="0" collapsed="false">
      <c r="B858" s="50"/>
      <c r="C858" s="29"/>
      <c r="D858" s="85"/>
    </row>
    <row r="859" customFormat="false" ht="15.75" hidden="false" customHeight="false" outlineLevel="0" collapsed="false">
      <c r="B859" s="50"/>
      <c r="C859" s="29"/>
      <c r="D859" s="85"/>
    </row>
    <row r="860" customFormat="false" ht="15.75" hidden="false" customHeight="false" outlineLevel="0" collapsed="false">
      <c r="B860" s="50"/>
      <c r="C860" s="29"/>
      <c r="D860" s="85"/>
    </row>
    <row r="861" customFormat="false" ht="15.75" hidden="false" customHeight="false" outlineLevel="0" collapsed="false">
      <c r="B861" s="50"/>
      <c r="C861" s="29"/>
      <c r="D861" s="85"/>
    </row>
    <row r="862" customFormat="false" ht="15.75" hidden="false" customHeight="false" outlineLevel="0" collapsed="false">
      <c r="B862" s="50"/>
      <c r="C862" s="29"/>
      <c r="D862" s="85"/>
    </row>
    <row r="863" customFormat="false" ht="15.75" hidden="false" customHeight="false" outlineLevel="0" collapsed="false">
      <c r="B863" s="50"/>
      <c r="C863" s="29"/>
      <c r="D863" s="85"/>
    </row>
    <row r="864" customFormat="false" ht="15.75" hidden="false" customHeight="false" outlineLevel="0" collapsed="false">
      <c r="B864" s="50"/>
      <c r="C864" s="29"/>
      <c r="D864" s="85"/>
    </row>
    <row r="865" customFormat="false" ht="15.75" hidden="false" customHeight="false" outlineLevel="0" collapsed="false">
      <c r="B865" s="50"/>
      <c r="C865" s="29"/>
      <c r="D865" s="85"/>
    </row>
    <row r="866" customFormat="false" ht="15.75" hidden="false" customHeight="false" outlineLevel="0" collapsed="false">
      <c r="B866" s="50"/>
      <c r="C866" s="29"/>
      <c r="D866" s="85"/>
    </row>
    <row r="867" customFormat="false" ht="15.75" hidden="false" customHeight="false" outlineLevel="0" collapsed="false">
      <c r="B867" s="50"/>
      <c r="C867" s="29"/>
      <c r="D867" s="85"/>
    </row>
    <row r="868" customFormat="false" ht="15.75" hidden="false" customHeight="false" outlineLevel="0" collapsed="false">
      <c r="B868" s="50"/>
      <c r="C868" s="29"/>
      <c r="D868" s="85"/>
    </row>
    <row r="869" customFormat="false" ht="15.75" hidden="false" customHeight="false" outlineLevel="0" collapsed="false">
      <c r="B869" s="50"/>
      <c r="C869" s="29"/>
      <c r="D869" s="85"/>
    </row>
    <row r="870" customFormat="false" ht="15.75" hidden="false" customHeight="false" outlineLevel="0" collapsed="false">
      <c r="B870" s="50"/>
      <c r="C870" s="29"/>
      <c r="D870" s="85"/>
    </row>
    <row r="871" customFormat="false" ht="15.75" hidden="false" customHeight="false" outlineLevel="0" collapsed="false">
      <c r="B871" s="50"/>
      <c r="C871" s="29"/>
      <c r="D871" s="85"/>
    </row>
    <row r="872" customFormat="false" ht="15.75" hidden="false" customHeight="false" outlineLevel="0" collapsed="false">
      <c r="B872" s="50"/>
      <c r="C872" s="29"/>
      <c r="D872" s="85"/>
    </row>
    <row r="873" customFormat="false" ht="15.75" hidden="false" customHeight="false" outlineLevel="0" collapsed="false">
      <c r="B873" s="50"/>
      <c r="C873" s="29"/>
      <c r="D873" s="85"/>
    </row>
    <row r="874" customFormat="false" ht="15.75" hidden="false" customHeight="false" outlineLevel="0" collapsed="false">
      <c r="B874" s="50"/>
      <c r="C874" s="29"/>
      <c r="D874" s="85"/>
    </row>
    <row r="875" customFormat="false" ht="15.75" hidden="false" customHeight="false" outlineLevel="0" collapsed="false">
      <c r="B875" s="50"/>
      <c r="C875" s="29"/>
      <c r="D875" s="85"/>
    </row>
    <row r="876" customFormat="false" ht="15.75" hidden="false" customHeight="false" outlineLevel="0" collapsed="false">
      <c r="B876" s="50"/>
      <c r="C876" s="29"/>
      <c r="D876" s="85"/>
    </row>
    <row r="877" customFormat="false" ht="15.75" hidden="false" customHeight="false" outlineLevel="0" collapsed="false">
      <c r="B877" s="50"/>
      <c r="C877" s="29"/>
      <c r="D877" s="85"/>
    </row>
    <row r="878" customFormat="false" ht="15.75" hidden="false" customHeight="false" outlineLevel="0" collapsed="false">
      <c r="B878" s="50"/>
      <c r="C878" s="29"/>
      <c r="D878" s="85"/>
    </row>
    <row r="879" customFormat="false" ht="15.75" hidden="false" customHeight="false" outlineLevel="0" collapsed="false">
      <c r="B879" s="50"/>
      <c r="C879" s="29"/>
      <c r="D879" s="85"/>
    </row>
    <row r="880" customFormat="false" ht="15.75" hidden="false" customHeight="false" outlineLevel="0" collapsed="false">
      <c r="B880" s="50"/>
      <c r="C880" s="29"/>
      <c r="D880" s="85"/>
    </row>
    <row r="881" customFormat="false" ht="15.75" hidden="false" customHeight="false" outlineLevel="0" collapsed="false">
      <c r="B881" s="50"/>
      <c r="C881" s="29"/>
      <c r="D881" s="85"/>
    </row>
    <row r="882" customFormat="false" ht="15.75" hidden="false" customHeight="false" outlineLevel="0" collapsed="false">
      <c r="B882" s="50"/>
      <c r="C882" s="29"/>
      <c r="D882" s="85"/>
    </row>
    <row r="883" customFormat="false" ht="15.75" hidden="false" customHeight="false" outlineLevel="0" collapsed="false">
      <c r="B883" s="50"/>
      <c r="C883" s="29"/>
      <c r="D883" s="85"/>
    </row>
    <row r="884" customFormat="false" ht="15.75" hidden="false" customHeight="false" outlineLevel="0" collapsed="false">
      <c r="B884" s="50"/>
      <c r="C884" s="29"/>
      <c r="D884" s="85"/>
    </row>
    <row r="885" customFormat="false" ht="15.75" hidden="false" customHeight="false" outlineLevel="0" collapsed="false">
      <c r="B885" s="50"/>
      <c r="C885" s="29"/>
      <c r="D885" s="85"/>
    </row>
    <row r="886" customFormat="false" ht="15.75" hidden="false" customHeight="false" outlineLevel="0" collapsed="false">
      <c r="B886" s="50"/>
      <c r="C886" s="29"/>
      <c r="D886" s="85"/>
    </row>
    <row r="887" customFormat="false" ht="15.75" hidden="false" customHeight="false" outlineLevel="0" collapsed="false">
      <c r="B887" s="50"/>
      <c r="C887" s="29"/>
      <c r="D887" s="85"/>
    </row>
    <row r="888" customFormat="false" ht="15.75" hidden="false" customHeight="false" outlineLevel="0" collapsed="false">
      <c r="B888" s="50"/>
      <c r="C888" s="29"/>
      <c r="D888" s="85"/>
    </row>
    <row r="889" customFormat="false" ht="15.75" hidden="false" customHeight="false" outlineLevel="0" collapsed="false">
      <c r="B889" s="50"/>
      <c r="C889" s="29"/>
      <c r="D889" s="85"/>
    </row>
    <row r="890" customFormat="false" ht="15.75" hidden="false" customHeight="false" outlineLevel="0" collapsed="false">
      <c r="B890" s="50"/>
      <c r="C890" s="29"/>
      <c r="D890" s="85"/>
    </row>
    <row r="891" customFormat="false" ht="15.75" hidden="false" customHeight="false" outlineLevel="0" collapsed="false">
      <c r="B891" s="50"/>
      <c r="C891" s="29"/>
      <c r="D891" s="85"/>
    </row>
    <row r="892" customFormat="false" ht="15.75" hidden="false" customHeight="false" outlineLevel="0" collapsed="false">
      <c r="B892" s="50"/>
      <c r="C892" s="29"/>
      <c r="D892" s="85"/>
    </row>
    <row r="893" customFormat="false" ht="15.75" hidden="false" customHeight="false" outlineLevel="0" collapsed="false">
      <c r="B893" s="50"/>
      <c r="C893" s="29"/>
      <c r="D893" s="85"/>
    </row>
    <row r="894" customFormat="false" ht="15.75" hidden="false" customHeight="false" outlineLevel="0" collapsed="false">
      <c r="B894" s="50"/>
      <c r="C894" s="29"/>
      <c r="D894" s="85"/>
    </row>
    <row r="895" customFormat="false" ht="15.75" hidden="false" customHeight="false" outlineLevel="0" collapsed="false">
      <c r="B895" s="50"/>
      <c r="C895" s="29"/>
      <c r="D895" s="85"/>
    </row>
    <row r="896" customFormat="false" ht="15.75" hidden="false" customHeight="false" outlineLevel="0" collapsed="false">
      <c r="B896" s="50"/>
      <c r="C896" s="29"/>
      <c r="D896" s="85"/>
    </row>
    <row r="897" customFormat="false" ht="15.75" hidden="false" customHeight="false" outlineLevel="0" collapsed="false">
      <c r="B897" s="50"/>
      <c r="C897" s="29"/>
      <c r="D897" s="85"/>
    </row>
    <row r="898" customFormat="false" ht="15.75" hidden="false" customHeight="false" outlineLevel="0" collapsed="false">
      <c r="B898" s="50"/>
      <c r="C898" s="29"/>
      <c r="D898" s="85"/>
    </row>
    <row r="899" customFormat="false" ht="15.75" hidden="false" customHeight="false" outlineLevel="0" collapsed="false">
      <c r="B899" s="50"/>
      <c r="C899" s="29"/>
      <c r="D899" s="85"/>
    </row>
    <row r="900" customFormat="false" ht="15.75" hidden="false" customHeight="false" outlineLevel="0" collapsed="false">
      <c r="B900" s="50"/>
      <c r="C900" s="29"/>
      <c r="D900" s="85"/>
    </row>
    <row r="901" customFormat="false" ht="15.75" hidden="false" customHeight="false" outlineLevel="0" collapsed="false">
      <c r="B901" s="50"/>
      <c r="C901" s="29"/>
      <c r="D901" s="85"/>
    </row>
    <row r="902" customFormat="false" ht="15.75" hidden="false" customHeight="false" outlineLevel="0" collapsed="false">
      <c r="B902" s="50"/>
      <c r="C902" s="29"/>
      <c r="D902" s="85"/>
    </row>
    <row r="903" customFormat="false" ht="15.75" hidden="false" customHeight="false" outlineLevel="0" collapsed="false">
      <c r="B903" s="50"/>
      <c r="C903" s="29"/>
      <c r="D903" s="85"/>
    </row>
    <row r="904" customFormat="false" ht="15.75" hidden="false" customHeight="false" outlineLevel="0" collapsed="false">
      <c r="B904" s="50"/>
      <c r="C904" s="29"/>
      <c r="D904" s="85"/>
    </row>
    <row r="905" customFormat="false" ht="15.75" hidden="false" customHeight="false" outlineLevel="0" collapsed="false">
      <c r="B905" s="50"/>
      <c r="C905" s="29"/>
      <c r="D905" s="85"/>
    </row>
    <row r="906" customFormat="false" ht="15.75" hidden="false" customHeight="false" outlineLevel="0" collapsed="false">
      <c r="B906" s="50"/>
      <c r="C906" s="29"/>
      <c r="D906" s="85"/>
    </row>
    <row r="907" customFormat="false" ht="15.75" hidden="false" customHeight="false" outlineLevel="0" collapsed="false">
      <c r="B907" s="50"/>
      <c r="C907" s="29"/>
      <c r="D907" s="85"/>
    </row>
    <row r="908" customFormat="false" ht="15.75" hidden="false" customHeight="false" outlineLevel="0" collapsed="false">
      <c r="B908" s="50"/>
      <c r="C908" s="29"/>
      <c r="D908" s="85"/>
    </row>
    <row r="909" customFormat="false" ht="15.75" hidden="false" customHeight="false" outlineLevel="0" collapsed="false">
      <c r="B909" s="50"/>
      <c r="C909" s="29"/>
      <c r="D909" s="85"/>
    </row>
    <row r="910" customFormat="false" ht="15.75" hidden="false" customHeight="false" outlineLevel="0" collapsed="false">
      <c r="B910" s="50"/>
      <c r="C910" s="29"/>
      <c r="D910" s="85"/>
    </row>
    <row r="911" customFormat="false" ht="15.75" hidden="false" customHeight="false" outlineLevel="0" collapsed="false">
      <c r="B911" s="50"/>
      <c r="C911" s="29"/>
      <c r="D911" s="85"/>
    </row>
    <row r="912" customFormat="false" ht="15.75" hidden="false" customHeight="false" outlineLevel="0" collapsed="false">
      <c r="B912" s="50"/>
      <c r="C912" s="29"/>
      <c r="D912" s="85"/>
    </row>
    <row r="913" customFormat="false" ht="15.75" hidden="false" customHeight="false" outlineLevel="0" collapsed="false">
      <c r="B913" s="50"/>
      <c r="C913" s="29"/>
      <c r="D913" s="85"/>
    </row>
    <row r="914" customFormat="false" ht="15.75" hidden="false" customHeight="false" outlineLevel="0" collapsed="false">
      <c r="B914" s="50"/>
      <c r="C914" s="29"/>
      <c r="D914" s="85"/>
    </row>
    <row r="915" customFormat="false" ht="15.75" hidden="false" customHeight="false" outlineLevel="0" collapsed="false">
      <c r="B915" s="50"/>
      <c r="C915" s="29"/>
      <c r="D915" s="85"/>
    </row>
    <row r="916" customFormat="false" ht="15.75" hidden="false" customHeight="false" outlineLevel="0" collapsed="false">
      <c r="B916" s="50"/>
      <c r="C916" s="29"/>
      <c r="D916" s="85"/>
    </row>
    <row r="917" customFormat="false" ht="15.75" hidden="false" customHeight="false" outlineLevel="0" collapsed="false">
      <c r="B917" s="50"/>
      <c r="C917" s="29"/>
      <c r="D917" s="85"/>
    </row>
    <row r="918" customFormat="false" ht="15.75" hidden="false" customHeight="false" outlineLevel="0" collapsed="false">
      <c r="B918" s="50"/>
      <c r="C918" s="29"/>
      <c r="D918" s="85"/>
    </row>
    <row r="919" customFormat="false" ht="15.75" hidden="false" customHeight="false" outlineLevel="0" collapsed="false">
      <c r="B919" s="50"/>
      <c r="C919" s="29"/>
      <c r="D919" s="85"/>
    </row>
    <row r="920" customFormat="false" ht="15.75" hidden="false" customHeight="false" outlineLevel="0" collapsed="false">
      <c r="B920" s="50"/>
      <c r="C920" s="29"/>
      <c r="D920" s="85"/>
    </row>
    <row r="921" customFormat="false" ht="15.75" hidden="false" customHeight="false" outlineLevel="0" collapsed="false">
      <c r="B921" s="50"/>
      <c r="C921" s="29"/>
      <c r="D921" s="85"/>
    </row>
    <row r="922" customFormat="false" ht="15.75" hidden="false" customHeight="false" outlineLevel="0" collapsed="false">
      <c r="B922" s="50"/>
      <c r="C922" s="29"/>
      <c r="D922" s="85"/>
    </row>
    <row r="923" customFormat="false" ht="15.75" hidden="false" customHeight="false" outlineLevel="0" collapsed="false">
      <c r="B923" s="50"/>
      <c r="C923" s="29"/>
      <c r="D923" s="85"/>
    </row>
    <row r="924" customFormat="false" ht="15.75" hidden="false" customHeight="false" outlineLevel="0" collapsed="false">
      <c r="B924" s="50"/>
      <c r="C924" s="29"/>
      <c r="D924" s="85"/>
    </row>
    <row r="925" customFormat="false" ht="15.75" hidden="false" customHeight="false" outlineLevel="0" collapsed="false">
      <c r="B925" s="50"/>
      <c r="C925" s="29"/>
      <c r="D925" s="85"/>
    </row>
    <row r="926" customFormat="false" ht="15.75" hidden="false" customHeight="false" outlineLevel="0" collapsed="false">
      <c r="B926" s="50"/>
      <c r="C926" s="29"/>
      <c r="D926" s="85"/>
    </row>
    <row r="927" customFormat="false" ht="15.75" hidden="false" customHeight="false" outlineLevel="0" collapsed="false">
      <c r="B927" s="50"/>
      <c r="C927" s="29"/>
      <c r="D927" s="85"/>
    </row>
    <row r="928" customFormat="false" ht="15.75" hidden="false" customHeight="false" outlineLevel="0" collapsed="false">
      <c r="B928" s="50"/>
      <c r="C928" s="29"/>
      <c r="D928" s="85"/>
    </row>
    <row r="929" customFormat="false" ht="15.75" hidden="false" customHeight="false" outlineLevel="0" collapsed="false">
      <c r="B929" s="50"/>
      <c r="C929" s="29"/>
      <c r="D929" s="85"/>
    </row>
    <row r="930" customFormat="false" ht="15.75" hidden="false" customHeight="false" outlineLevel="0" collapsed="false">
      <c r="B930" s="50"/>
      <c r="C930" s="29"/>
      <c r="D930" s="85"/>
    </row>
    <row r="931" customFormat="false" ht="15.75" hidden="false" customHeight="false" outlineLevel="0" collapsed="false">
      <c r="B931" s="50"/>
      <c r="C931" s="29"/>
      <c r="D931" s="85"/>
    </row>
    <row r="932" customFormat="false" ht="15.75" hidden="false" customHeight="false" outlineLevel="0" collapsed="false">
      <c r="B932" s="50"/>
      <c r="C932" s="29"/>
      <c r="D932" s="85"/>
    </row>
    <row r="933" customFormat="false" ht="15.75" hidden="false" customHeight="false" outlineLevel="0" collapsed="false">
      <c r="B933" s="50"/>
      <c r="C933" s="29"/>
      <c r="D933" s="85"/>
    </row>
    <row r="934" customFormat="false" ht="15.75" hidden="false" customHeight="false" outlineLevel="0" collapsed="false">
      <c r="B934" s="50"/>
      <c r="C934" s="29"/>
      <c r="D934" s="85"/>
    </row>
    <row r="935" customFormat="false" ht="15.75" hidden="false" customHeight="false" outlineLevel="0" collapsed="false">
      <c r="B935" s="50"/>
      <c r="C935" s="29"/>
      <c r="D935" s="85"/>
    </row>
    <row r="936" customFormat="false" ht="15.75" hidden="false" customHeight="false" outlineLevel="0" collapsed="false">
      <c r="B936" s="50"/>
      <c r="C936" s="29"/>
      <c r="D936" s="85"/>
    </row>
    <row r="937" customFormat="false" ht="15.75" hidden="false" customHeight="false" outlineLevel="0" collapsed="false">
      <c r="B937" s="50"/>
      <c r="C937" s="29"/>
      <c r="D937" s="85"/>
    </row>
    <row r="938" customFormat="false" ht="15.75" hidden="false" customHeight="false" outlineLevel="0" collapsed="false">
      <c r="B938" s="50"/>
      <c r="C938" s="29"/>
      <c r="D938" s="85"/>
    </row>
    <row r="939" customFormat="false" ht="15.75" hidden="false" customHeight="false" outlineLevel="0" collapsed="false">
      <c r="B939" s="50"/>
      <c r="C939" s="29"/>
      <c r="D939" s="85"/>
    </row>
    <row r="940" customFormat="false" ht="15.75" hidden="false" customHeight="false" outlineLevel="0" collapsed="false">
      <c r="B940" s="50"/>
      <c r="C940" s="29"/>
      <c r="D940" s="85"/>
    </row>
    <row r="941" customFormat="false" ht="15.75" hidden="false" customHeight="false" outlineLevel="0" collapsed="false">
      <c r="B941" s="50"/>
      <c r="C941" s="29"/>
      <c r="D941" s="85"/>
    </row>
    <row r="942" customFormat="false" ht="15.75" hidden="false" customHeight="false" outlineLevel="0" collapsed="false">
      <c r="B942" s="50"/>
      <c r="C942" s="29"/>
      <c r="D942" s="85"/>
    </row>
    <row r="943" customFormat="false" ht="15.75" hidden="false" customHeight="false" outlineLevel="0" collapsed="false">
      <c r="B943" s="50"/>
      <c r="C943" s="29"/>
      <c r="D943" s="85"/>
    </row>
    <row r="944" customFormat="false" ht="15.75" hidden="false" customHeight="false" outlineLevel="0" collapsed="false">
      <c r="B944" s="50"/>
      <c r="C944" s="29"/>
      <c r="D944" s="85"/>
    </row>
    <row r="945" customFormat="false" ht="15.75" hidden="false" customHeight="false" outlineLevel="0" collapsed="false">
      <c r="B945" s="50"/>
      <c r="C945" s="29"/>
      <c r="D945" s="85"/>
    </row>
    <row r="946" customFormat="false" ht="15.75" hidden="false" customHeight="false" outlineLevel="0" collapsed="false">
      <c r="B946" s="50"/>
      <c r="C946" s="29"/>
      <c r="D946" s="85"/>
    </row>
    <row r="947" customFormat="false" ht="15.75" hidden="false" customHeight="false" outlineLevel="0" collapsed="false">
      <c r="B947" s="50"/>
      <c r="C947" s="29"/>
      <c r="D947" s="85"/>
    </row>
    <row r="948" customFormat="false" ht="15.75" hidden="false" customHeight="false" outlineLevel="0" collapsed="false">
      <c r="B948" s="50"/>
      <c r="C948" s="29"/>
      <c r="D948" s="85"/>
    </row>
    <row r="949" customFormat="false" ht="15.75" hidden="false" customHeight="false" outlineLevel="0" collapsed="false">
      <c r="B949" s="50"/>
      <c r="C949" s="29"/>
      <c r="D949" s="85"/>
    </row>
    <row r="950" customFormat="false" ht="15.75" hidden="false" customHeight="false" outlineLevel="0" collapsed="false">
      <c r="B950" s="50"/>
      <c r="C950" s="29"/>
      <c r="D950" s="85"/>
    </row>
    <row r="951" customFormat="false" ht="15.75" hidden="false" customHeight="false" outlineLevel="0" collapsed="false">
      <c r="B951" s="50"/>
      <c r="C951" s="29"/>
      <c r="D951" s="85"/>
    </row>
    <row r="952" customFormat="false" ht="15.75" hidden="false" customHeight="false" outlineLevel="0" collapsed="false">
      <c r="B952" s="50"/>
      <c r="C952" s="29"/>
      <c r="D952" s="85"/>
    </row>
    <row r="953" customFormat="false" ht="15.75" hidden="false" customHeight="false" outlineLevel="0" collapsed="false">
      <c r="B953" s="50"/>
      <c r="C953" s="29"/>
      <c r="D953" s="85"/>
    </row>
    <row r="954" customFormat="false" ht="15.75" hidden="false" customHeight="false" outlineLevel="0" collapsed="false">
      <c r="B954" s="50"/>
      <c r="C954" s="29"/>
      <c r="D954" s="85"/>
    </row>
    <row r="955" customFormat="false" ht="15.75" hidden="false" customHeight="false" outlineLevel="0" collapsed="false">
      <c r="B955" s="50"/>
      <c r="C955" s="29"/>
      <c r="D955" s="85"/>
    </row>
    <row r="956" customFormat="false" ht="15.75" hidden="false" customHeight="false" outlineLevel="0" collapsed="false">
      <c r="B956" s="50"/>
      <c r="C956" s="29"/>
      <c r="D956" s="85"/>
    </row>
    <row r="957" customFormat="false" ht="15.75" hidden="false" customHeight="false" outlineLevel="0" collapsed="false">
      <c r="B957" s="50"/>
      <c r="C957" s="29"/>
      <c r="D957" s="85"/>
    </row>
    <row r="958" customFormat="false" ht="15.75" hidden="false" customHeight="false" outlineLevel="0" collapsed="false">
      <c r="B958" s="50"/>
      <c r="C958" s="29"/>
      <c r="D958" s="85"/>
    </row>
    <row r="959" customFormat="false" ht="15.75" hidden="false" customHeight="false" outlineLevel="0" collapsed="false">
      <c r="B959" s="50"/>
      <c r="C959" s="29"/>
      <c r="D959" s="85"/>
    </row>
    <row r="960" customFormat="false" ht="15.75" hidden="false" customHeight="false" outlineLevel="0" collapsed="false">
      <c r="B960" s="50"/>
      <c r="C960" s="29"/>
      <c r="D960" s="85"/>
    </row>
    <row r="961" customFormat="false" ht="15.75" hidden="false" customHeight="false" outlineLevel="0" collapsed="false">
      <c r="B961" s="50"/>
      <c r="C961" s="29"/>
      <c r="D961" s="85"/>
    </row>
    <row r="962" customFormat="false" ht="15.75" hidden="false" customHeight="false" outlineLevel="0" collapsed="false">
      <c r="B962" s="50"/>
      <c r="C962" s="29"/>
      <c r="D962" s="85"/>
    </row>
    <row r="963" customFormat="false" ht="15.75" hidden="false" customHeight="false" outlineLevel="0" collapsed="false">
      <c r="B963" s="50"/>
      <c r="C963" s="29"/>
      <c r="D963" s="85"/>
    </row>
    <row r="964" customFormat="false" ht="15.75" hidden="false" customHeight="false" outlineLevel="0" collapsed="false">
      <c r="B964" s="50"/>
      <c r="C964" s="29"/>
      <c r="D964" s="85"/>
    </row>
    <row r="965" customFormat="false" ht="15.75" hidden="false" customHeight="false" outlineLevel="0" collapsed="false">
      <c r="B965" s="50"/>
      <c r="C965" s="29"/>
      <c r="D965" s="85"/>
    </row>
    <row r="966" customFormat="false" ht="15.75" hidden="false" customHeight="false" outlineLevel="0" collapsed="false">
      <c r="B966" s="50"/>
      <c r="C966" s="29"/>
      <c r="D966" s="85"/>
    </row>
    <row r="967" customFormat="false" ht="15.75" hidden="false" customHeight="false" outlineLevel="0" collapsed="false">
      <c r="B967" s="50"/>
      <c r="C967" s="29"/>
      <c r="D967" s="85"/>
    </row>
    <row r="968" customFormat="false" ht="15.75" hidden="false" customHeight="false" outlineLevel="0" collapsed="false">
      <c r="B968" s="50"/>
      <c r="C968" s="29"/>
      <c r="D968" s="85"/>
    </row>
    <row r="969" customFormat="false" ht="15.75" hidden="false" customHeight="false" outlineLevel="0" collapsed="false">
      <c r="B969" s="50"/>
      <c r="C969" s="29"/>
      <c r="D969" s="85"/>
    </row>
    <row r="970" customFormat="false" ht="15.75" hidden="false" customHeight="false" outlineLevel="0" collapsed="false">
      <c r="B970" s="50"/>
      <c r="C970" s="29"/>
      <c r="D970" s="85"/>
    </row>
    <row r="971" customFormat="false" ht="15.75" hidden="false" customHeight="false" outlineLevel="0" collapsed="false">
      <c r="B971" s="50"/>
      <c r="C971" s="29"/>
      <c r="D971" s="85"/>
    </row>
    <row r="972" customFormat="false" ht="15.75" hidden="false" customHeight="false" outlineLevel="0" collapsed="false">
      <c r="B972" s="50"/>
      <c r="C972" s="29"/>
      <c r="D972" s="85"/>
    </row>
    <row r="973" customFormat="false" ht="15.75" hidden="false" customHeight="false" outlineLevel="0" collapsed="false">
      <c r="B973" s="50"/>
      <c r="C973" s="29"/>
      <c r="D973" s="85"/>
    </row>
    <row r="974" customFormat="false" ht="15.75" hidden="false" customHeight="false" outlineLevel="0" collapsed="false">
      <c r="B974" s="50"/>
      <c r="C974" s="29"/>
      <c r="D974" s="85"/>
    </row>
    <row r="975" customFormat="false" ht="15.75" hidden="false" customHeight="false" outlineLevel="0" collapsed="false">
      <c r="B975" s="50"/>
      <c r="C975" s="29"/>
      <c r="D975" s="85"/>
    </row>
    <row r="976" customFormat="false" ht="15.75" hidden="false" customHeight="false" outlineLevel="0" collapsed="false">
      <c r="B976" s="50"/>
      <c r="C976" s="29"/>
      <c r="D976" s="85"/>
    </row>
    <row r="977" customFormat="false" ht="15.75" hidden="false" customHeight="false" outlineLevel="0" collapsed="false">
      <c r="B977" s="50"/>
      <c r="C977" s="29"/>
      <c r="D977" s="85"/>
    </row>
    <row r="978" customFormat="false" ht="15.75" hidden="false" customHeight="false" outlineLevel="0" collapsed="false">
      <c r="B978" s="50"/>
      <c r="C978" s="29"/>
      <c r="D978" s="85"/>
    </row>
    <row r="979" customFormat="false" ht="15.75" hidden="false" customHeight="false" outlineLevel="0" collapsed="false">
      <c r="B979" s="50"/>
      <c r="C979" s="29"/>
      <c r="D979" s="85"/>
    </row>
    <row r="980" customFormat="false" ht="15.75" hidden="false" customHeight="false" outlineLevel="0" collapsed="false">
      <c r="B980" s="50"/>
      <c r="C980" s="29"/>
      <c r="D980" s="85"/>
    </row>
    <row r="981" customFormat="false" ht="15.75" hidden="false" customHeight="false" outlineLevel="0" collapsed="false">
      <c r="B981" s="50"/>
      <c r="C981" s="29"/>
      <c r="D981" s="85"/>
    </row>
    <row r="982" customFormat="false" ht="15.75" hidden="false" customHeight="false" outlineLevel="0" collapsed="false">
      <c r="B982" s="50"/>
      <c r="C982" s="29"/>
      <c r="D982" s="85"/>
    </row>
    <row r="983" customFormat="false" ht="15.75" hidden="false" customHeight="false" outlineLevel="0" collapsed="false">
      <c r="B983" s="50"/>
      <c r="C983" s="29"/>
      <c r="D983" s="85"/>
    </row>
    <row r="984" customFormat="false" ht="15.75" hidden="false" customHeight="false" outlineLevel="0" collapsed="false">
      <c r="B984" s="50"/>
      <c r="C984" s="29"/>
      <c r="D984" s="85"/>
    </row>
    <row r="985" customFormat="false" ht="15.75" hidden="false" customHeight="false" outlineLevel="0" collapsed="false">
      <c r="B985" s="50"/>
      <c r="C985" s="29"/>
      <c r="D985" s="85"/>
    </row>
    <row r="986" customFormat="false" ht="15.75" hidden="false" customHeight="false" outlineLevel="0" collapsed="false">
      <c r="B986" s="50"/>
      <c r="C986" s="29"/>
      <c r="D986" s="85"/>
    </row>
    <row r="987" customFormat="false" ht="15.75" hidden="false" customHeight="false" outlineLevel="0" collapsed="false">
      <c r="B987" s="50"/>
      <c r="C987" s="29"/>
      <c r="D987" s="85"/>
    </row>
    <row r="988" customFormat="false" ht="15.75" hidden="false" customHeight="false" outlineLevel="0" collapsed="false">
      <c r="B988" s="50"/>
      <c r="C988" s="29"/>
      <c r="D988" s="85"/>
    </row>
    <row r="989" customFormat="false" ht="15.75" hidden="false" customHeight="false" outlineLevel="0" collapsed="false">
      <c r="B989" s="50"/>
      <c r="C989" s="29"/>
      <c r="D989" s="85"/>
    </row>
    <row r="990" customFormat="false" ht="15.75" hidden="false" customHeight="false" outlineLevel="0" collapsed="false">
      <c r="B990" s="50"/>
      <c r="C990" s="29"/>
      <c r="D990" s="85"/>
    </row>
    <row r="991" customFormat="false" ht="15.75" hidden="false" customHeight="false" outlineLevel="0" collapsed="false">
      <c r="B991" s="50"/>
      <c r="C991" s="29"/>
      <c r="D991" s="85"/>
    </row>
    <row r="992" customFormat="false" ht="15.75" hidden="false" customHeight="false" outlineLevel="0" collapsed="false">
      <c r="B992" s="50"/>
      <c r="C992" s="29"/>
      <c r="D992" s="85"/>
    </row>
    <row r="993" customFormat="false" ht="15.75" hidden="false" customHeight="false" outlineLevel="0" collapsed="false">
      <c r="B993" s="50"/>
      <c r="C993" s="29"/>
      <c r="D993" s="85"/>
    </row>
    <row r="994" customFormat="false" ht="15.75" hidden="false" customHeight="false" outlineLevel="0" collapsed="false">
      <c r="B994" s="50"/>
      <c r="C994" s="29"/>
      <c r="D994" s="85"/>
    </row>
    <row r="995" customFormat="false" ht="15.75" hidden="false" customHeight="false" outlineLevel="0" collapsed="false">
      <c r="B995" s="50"/>
      <c r="C995" s="29"/>
      <c r="D995" s="85"/>
    </row>
  </sheetData>
  <mergeCells count="8">
    <mergeCell ref="G1:I1"/>
    <mergeCell ref="A81:B81"/>
    <mergeCell ref="A85:B85"/>
    <mergeCell ref="A89:B89"/>
    <mergeCell ref="A93:B93"/>
    <mergeCell ref="A99:B99"/>
    <mergeCell ref="A105:B105"/>
    <mergeCell ref="A130:B130"/>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A99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2" ySplit="2" topLeftCell="C3" activePane="bottomRight" state="frozen"/>
      <selection pane="topLeft" activeCell="A1" activeCellId="0" sqref="A1"/>
      <selection pane="topRight" activeCell="C1" activeCellId="0" sqref="C1"/>
      <selection pane="bottomLeft" activeCell="A3" activeCellId="0" sqref="A3"/>
      <selection pane="bottomRight" activeCell="C3" activeCellId="0" sqref="C3"/>
    </sheetView>
  </sheetViews>
  <sheetFormatPr defaultColWidth="14.4609375" defaultRowHeight="15.75" zeroHeight="false" outlineLevelRow="0" outlineLevelCol="0"/>
  <cols>
    <col collapsed="false" customWidth="true" hidden="false" outlineLevel="0" max="1" min="1" style="0" width="29.29"/>
    <col collapsed="false" customWidth="true" hidden="false" outlineLevel="0" max="2" min="2" style="0" width="28.71"/>
  </cols>
  <sheetData>
    <row r="1" customFormat="false" ht="45" hidden="false" customHeight="true" outlineLevel="0" collapsed="false">
      <c r="A1" s="49"/>
      <c r="B1" s="50"/>
      <c r="C1" s="51" t="s">
        <v>1765</v>
      </c>
      <c r="D1" s="51"/>
      <c r="E1" s="51"/>
      <c r="F1" s="51"/>
      <c r="G1" s="52" t="str">
        <f aca="false">IFERROR(__xludf.dummyfunction("IMPORTRANGE(""https://docs.google.com/spreadsheets/d/1GKhz9pSyUWFf4Xrp7ACbjr4UA3dMq6VxKG1OCLWM9yA/edit#gid=0"", ""A2:A2"")"),"Data computed at 2021-06-07 12:04:55+00:00.")</f>
        <v>Data computed at 2021-06-07 12:04:55+00:00.</v>
      </c>
      <c r="H1" s="52"/>
      <c r="I1" s="52"/>
    </row>
    <row r="2" customFormat="false" ht="15.75" hidden="false" customHeight="false" outlineLevel="0" collapsed="false">
      <c r="A2" s="53"/>
      <c r="B2" s="54" t="s">
        <v>1766</v>
      </c>
      <c r="C2" s="53" t="s">
        <v>1767</v>
      </c>
      <c r="D2" s="53" t="s">
        <v>1768</v>
      </c>
      <c r="E2" s="53" t="s">
        <v>324</v>
      </c>
      <c r="F2" s="53" t="s">
        <v>1769</v>
      </c>
      <c r="G2" s="53" t="s">
        <v>1770</v>
      </c>
      <c r="H2" s="53" t="s">
        <v>349</v>
      </c>
      <c r="I2" s="53" t="s">
        <v>438</v>
      </c>
      <c r="J2" s="53" t="s">
        <v>1771</v>
      </c>
      <c r="K2" s="53" t="s">
        <v>1772</v>
      </c>
      <c r="L2" s="53" t="s">
        <v>614</v>
      </c>
      <c r="M2" s="53" t="s">
        <v>269</v>
      </c>
      <c r="N2" s="53" t="s">
        <v>1773</v>
      </c>
      <c r="O2" s="53" t="s">
        <v>1774</v>
      </c>
      <c r="P2" s="53" t="s">
        <v>51</v>
      </c>
      <c r="Q2" s="53" t="s">
        <v>1775</v>
      </c>
      <c r="R2" s="53" t="s">
        <v>1776</v>
      </c>
      <c r="S2" s="53" t="s">
        <v>1777</v>
      </c>
      <c r="T2" s="53" t="s">
        <v>498</v>
      </c>
      <c r="U2" s="53" t="s">
        <v>1778</v>
      </c>
      <c r="V2" s="53" t="s">
        <v>1779</v>
      </c>
      <c r="W2" s="53" t="s">
        <v>1780</v>
      </c>
      <c r="X2" s="53" t="s">
        <v>1781</v>
      </c>
      <c r="Y2" s="53" t="s">
        <v>1782</v>
      </c>
      <c r="Z2" s="53" t="s">
        <v>1783</v>
      </c>
      <c r="AA2" s="53" t="s">
        <v>1784</v>
      </c>
      <c r="AB2" s="53" t="s">
        <v>1785</v>
      </c>
      <c r="AC2" s="53" t="s">
        <v>522</v>
      </c>
      <c r="AD2" s="53" t="s">
        <v>398</v>
      </c>
      <c r="AE2" s="53" t="s">
        <v>1786</v>
      </c>
      <c r="AF2" s="53" t="s">
        <v>1787</v>
      </c>
      <c r="AG2" s="53" t="s">
        <v>1788</v>
      </c>
      <c r="AH2" s="53" t="s">
        <v>1789</v>
      </c>
      <c r="AI2" s="53" t="s">
        <v>1790</v>
      </c>
      <c r="AJ2" s="53" t="s">
        <v>1791</v>
      </c>
      <c r="AK2" s="53" t="s">
        <v>1792</v>
      </c>
      <c r="AL2" s="53" t="s">
        <v>1793</v>
      </c>
      <c r="AM2" s="53" t="s">
        <v>1794</v>
      </c>
      <c r="AN2" s="53" t="s">
        <v>1795</v>
      </c>
      <c r="AO2" s="53" t="s">
        <v>1796</v>
      </c>
      <c r="AP2" s="53" t="s">
        <v>1797</v>
      </c>
      <c r="AQ2" s="53" t="s">
        <v>1798</v>
      </c>
      <c r="AR2" s="53" t="s">
        <v>1799</v>
      </c>
      <c r="AS2" s="53" t="s">
        <v>1800</v>
      </c>
      <c r="AT2" s="53" t="s">
        <v>1801</v>
      </c>
      <c r="AU2" s="53" t="s">
        <v>1802</v>
      </c>
      <c r="AV2" s="53" t="s">
        <v>1803</v>
      </c>
      <c r="AW2" s="53" t="s">
        <v>1804</v>
      </c>
      <c r="AX2" s="53" t="s">
        <v>1805</v>
      </c>
      <c r="AY2" s="53" t="s">
        <v>1806</v>
      </c>
      <c r="AZ2" s="53" t="s">
        <v>1807</v>
      </c>
      <c r="BA2" s="53" t="s">
        <v>1808</v>
      </c>
    </row>
    <row r="3" customFormat="false" ht="15.75" hidden="false" customHeight="false" outlineLevel="0" collapsed="false">
      <c r="A3" s="55" t="s">
        <v>1809</v>
      </c>
      <c r="B3" s="56" t="n">
        <f aca="false">IFERROR(__xludf.dummyfunction("TRANSPOSE(IMPORTRANGE(""https://docs.google.com/spreadsheets/d/1GKhz9pSyUWFf4Xrp7ACbjr4UA3dMq6VxKG1OCLWM9yA"", ""D4:D55""))"),36677041)</f>
        <v>36677041</v>
      </c>
      <c r="C3" s="57" t="n">
        <f aca="false">IFERROR(__xludf.dummyfunction("""COMPUTED_VALUE"""),820623)</f>
        <v>820623</v>
      </c>
      <c r="D3" s="58" t="n">
        <f aca="false">IFERROR(__xludf.dummyfunction("""COMPUTED_VALUE"""),174069)</f>
        <v>174069</v>
      </c>
      <c r="E3" s="58" t="n">
        <f aca="false">IFERROR(__xludf.dummyfunction("""COMPUTED_VALUE"""),860749)</f>
        <v>860749</v>
      </c>
      <c r="F3" s="58" t="n">
        <f aca="false">IFERROR(__xludf.dummyfunction("""COMPUTED_VALUE"""),979030)</f>
        <v>979030</v>
      </c>
      <c r="G3" s="58" t="n">
        <f aca="false">IFERROR(__xludf.dummyfunction("""COMPUTED_VALUE"""),2298746)</f>
        <v>2298746</v>
      </c>
      <c r="H3" s="58" t="n">
        <f aca="false">IFERROR(__xludf.dummyfunction("""COMPUTED_VALUE"""),634407)</f>
        <v>634407</v>
      </c>
      <c r="I3" s="58" t="n">
        <f aca="false">IFERROR(__xludf.dummyfunction("""COMPUTED_VALUE"""),182378)</f>
        <v>182378</v>
      </c>
      <c r="J3" s="58" t="n">
        <f aca="false">IFERROR(__xludf.dummyfunction("""COMPUTED_VALUE"""),78245)</f>
        <v>78245</v>
      </c>
      <c r="K3" s="58" t="n">
        <f aca="false">IFERROR(__xludf.dummyfunction("""COMPUTED_VALUE"""),37808)</f>
        <v>37808</v>
      </c>
      <c r="L3" s="58" t="n">
        <f aca="false">IFERROR(__xludf.dummyfunction("""COMPUTED_VALUE"""),2201660)</f>
        <v>2201660</v>
      </c>
      <c r="M3" s="58" t="n">
        <f aca="false">IFERROR(__xludf.dummyfunction("""COMPUTED_VALUE"""),654319)</f>
        <v>654319</v>
      </c>
      <c r="N3" s="58" t="n">
        <f aca="false">IFERROR(__xludf.dummyfunction("""COMPUTED_VALUE"""),122780)</f>
        <v>122780</v>
      </c>
      <c r="O3" s="58" t="n">
        <f aca="false">IFERROR(__xludf.dummyfunction("""COMPUTED_VALUE"""),241322)</f>
        <v>241322</v>
      </c>
      <c r="P3" s="58" t="n">
        <f aca="false">IFERROR(__xludf.dummyfunction("""COMPUTED_VALUE"""),1450216)</f>
        <v>1450216</v>
      </c>
      <c r="Q3" s="58" t="n">
        <f aca="false">IFERROR(__xludf.dummyfunction("""COMPUTED_VALUE"""),974546)</f>
        <v>974546</v>
      </c>
      <c r="R3" s="58" t="n">
        <f aca="false">IFERROR(__xludf.dummyfunction("""COMPUTED_VALUE"""),1057388)</f>
        <v>1057388</v>
      </c>
      <c r="S3" s="58" t="n">
        <f aca="false">IFERROR(__xludf.dummyfunction("""COMPUTED_VALUE"""),552322)</f>
        <v>552322</v>
      </c>
      <c r="T3" s="58" t="n">
        <f aca="false">IFERROR(__xludf.dummyfunction("""COMPUTED_VALUE"""),389331)</f>
        <v>389331</v>
      </c>
      <c r="U3" s="58" t="n">
        <f aca="false">IFERROR(__xludf.dummyfunction("""COMPUTED_VALUE"""),737659)</f>
        <v>737659</v>
      </c>
      <c r="V3" s="58" t="n">
        <f aca="false">IFERROR(__xludf.dummyfunction("""COMPUTED_VALUE"""),133122)</f>
        <v>133122</v>
      </c>
      <c r="W3" s="58" t="n">
        <f aca="false">IFERROR(__xludf.dummyfunction("""COMPUTED_VALUE"""),276291)</f>
        <v>276291</v>
      </c>
      <c r="X3" s="58" t="n">
        <f aca="false">IFERROR(__xludf.dummyfunction("""COMPUTED_VALUE"""),381040)</f>
        <v>381040</v>
      </c>
      <c r="Y3" s="58" t="n">
        <f aca="false">IFERROR(__xludf.dummyfunction("""COMPUTED_VALUE"""),899654)</f>
        <v>899654</v>
      </c>
      <c r="Z3" s="58" t="n">
        <f aca="false">IFERROR(__xludf.dummyfunction("""COMPUTED_VALUE"""),871783)</f>
        <v>871783</v>
      </c>
      <c r="AA3" s="58" t="n">
        <f aca="false">IFERROR(__xludf.dummyfunction("""COMPUTED_VALUE"""),556817)</f>
        <v>556817</v>
      </c>
      <c r="AB3" s="58" t="n">
        <f aca="false">IFERROR(__xludf.dummyfunction("""COMPUTED_VALUE"""),703334)</f>
        <v>703334</v>
      </c>
      <c r="AC3" s="58" t="n">
        <f aca="false">IFERROR(__xludf.dummyfunction("""COMPUTED_VALUE"""),441533)</f>
        <v>441533</v>
      </c>
      <c r="AD3" s="58" t="n">
        <f aca="false">IFERROR(__xludf.dummyfunction("""COMPUTED_VALUE"""),411366)</f>
        <v>411366</v>
      </c>
      <c r="AE3" s="58" t="n">
        <f aca="false">IFERROR(__xludf.dummyfunction("""COMPUTED_VALUE"""),228826)</f>
        <v>228826</v>
      </c>
      <c r="AF3" s="58" t="n">
        <f aca="false">IFERROR(__xludf.dummyfunction("""COMPUTED_VALUE"""),128060)</f>
        <v>128060</v>
      </c>
      <c r="AG3" s="58" t="n">
        <f aca="false">IFERROR(__xludf.dummyfunction("""COMPUTED_VALUE"""),516741)</f>
        <v>516741</v>
      </c>
      <c r="AH3" s="58" t="n">
        <f aca="false">IFERROR(__xludf.dummyfunction("""COMPUTED_VALUE"""),612812)</f>
        <v>612812</v>
      </c>
      <c r="AI3" s="58" t="n">
        <f aca="false">IFERROR(__xludf.dummyfunction("""COMPUTED_VALUE"""),1261166)</f>
        <v>1261166</v>
      </c>
      <c r="AJ3" s="58" t="n">
        <f aca="false">IFERROR(__xludf.dummyfunction("""COMPUTED_VALUE"""),1155787)</f>
        <v>1155787</v>
      </c>
      <c r="AK3" s="58" t="n">
        <f aca="false">IFERROR(__xludf.dummyfunction("""COMPUTED_VALUE"""),459497)</f>
        <v>459497</v>
      </c>
      <c r="AL3" s="58" t="n">
        <f aca="false">IFERROR(__xludf.dummyfunction("""COMPUTED_VALUE"""),1812528)</f>
        <v>1812528</v>
      </c>
      <c r="AM3" s="58" t="n">
        <f aca="false">IFERROR(__xludf.dummyfunction("""COMPUTED_VALUE"""),602756)</f>
        <v>602756</v>
      </c>
      <c r="AN3" s="58" t="n">
        <f aca="false">IFERROR(__xludf.dummyfunction("""COMPUTED_VALUE"""),491303)</f>
        <v>491303</v>
      </c>
      <c r="AO3" s="58" t="n">
        <f aca="false">IFERROR(__xludf.dummyfunction("""COMPUTED_VALUE"""),1255541)</f>
        <v>1255541</v>
      </c>
      <c r="AP3" s="58" t="n">
        <f aca="false">IFERROR(__xludf.dummyfunction("""COMPUTED_VALUE"""),79678)</f>
        <v>79678</v>
      </c>
      <c r="AQ3" s="58" t="n">
        <f aca="false">IFERROR(__xludf.dummyfunction("""COMPUTED_VALUE"""),627999)</f>
        <v>627999</v>
      </c>
      <c r="AR3" s="58" t="n">
        <f aca="false">IFERROR(__xludf.dummyfunction("""COMPUTED_VALUE"""),358026)</f>
        <v>358026</v>
      </c>
      <c r="AS3" s="58" t="n">
        <f aca="false">IFERROR(__xludf.dummyfunction("""COMPUTED_VALUE"""),483179)</f>
        <v>483179</v>
      </c>
      <c r="AT3" s="58" t="n">
        <f aca="false">IFERROR(__xludf.dummyfunction("""COMPUTED_VALUE"""),3881423)</f>
        <v>3881423</v>
      </c>
      <c r="AU3" s="58" t="n">
        <f aca="false">IFERROR(__xludf.dummyfunction("""COMPUTED_VALUE"""),357651)</f>
        <v>357651</v>
      </c>
      <c r="AV3" s="58" t="n">
        <f aca="false">IFERROR(__xludf.dummyfunction("""COMPUTED_VALUE"""),34744)</f>
        <v>34744</v>
      </c>
      <c r="AW3" s="58" t="n">
        <f aca="false">IFERROR(__xludf.dummyfunction("""COMPUTED_VALUE"""),607498)</f>
        <v>607498</v>
      </c>
      <c r="AX3" s="58" t="n">
        <f aca="false">IFERROR(__xludf.dummyfunction("""COMPUTED_VALUE"""),703820)</f>
        <v>703820</v>
      </c>
      <c r="AY3" s="58" t="n">
        <f aca="false">IFERROR(__xludf.dummyfunction("""COMPUTED_VALUE"""),668632)</f>
        <v>668632</v>
      </c>
      <c r="AZ3" s="58" t="n">
        <f aca="false">IFERROR(__xludf.dummyfunction("""COMPUTED_VALUE"""),1125669)</f>
        <v>1125669</v>
      </c>
      <c r="BA3" s="58" t="n">
        <f aca="false">IFERROR(__xludf.dummyfunction("""COMPUTED_VALUE"""),101167)</f>
        <v>101167</v>
      </c>
    </row>
    <row r="4" customFormat="false" ht="15.75" hidden="false" customHeight="false" outlineLevel="0" collapsed="false">
      <c r="B4" s="59"/>
      <c r="C4" s="60"/>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row>
    <row r="5" customFormat="false" ht="15.75" hidden="false" customHeight="false" outlineLevel="0" collapsed="false">
      <c r="A5" s="62" t="s">
        <v>1810</v>
      </c>
      <c r="B5" s="63"/>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5"/>
    </row>
    <row r="6" customFormat="false" ht="15.75" hidden="false" customHeight="false" outlineLevel="0" collapsed="false">
      <c r="A6" s="66" t="str">
        <f aca="false">IFERROR(__xludf.dummyfunction("TRANSPOSE(IMPORTRANGE(""https://docs.google.com/spreadsheets/d/1GKhz9pSyUWFf4Xrp7ACbjr4UA3dMq6VxKG1OCLWM9yA"", ""'Addresses'!F4:V56""))"),"street_number")</f>
        <v>street_number</v>
      </c>
      <c r="B6" s="67" t="n">
        <f aca="false">IFERROR(__xludf.dummyfunction("""COMPUTED_VALUE"""),13620231)</f>
        <v>13620231</v>
      </c>
      <c r="C6" s="68" t="n">
        <f aca="false">IFERROR(__xludf.dummyfunction("""COMPUTED_VALUE"""),206214)</f>
        <v>206214</v>
      </c>
      <c r="D6" s="69" t="n">
        <f aca="false">IFERROR(__xludf.dummyfunction("""COMPUTED_VALUE"""),46667)</f>
        <v>46667</v>
      </c>
      <c r="E6" s="70" t="n">
        <f aca="false">IFERROR(__xludf.dummyfunction("""COMPUTED_VALUE"""),398071)</f>
        <v>398071</v>
      </c>
      <c r="F6" s="70" t="n">
        <f aca="false">IFERROR(__xludf.dummyfunction("""COMPUTED_VALUE"""),171771)</f>
        <v>171771</v>
      </c>
      <c r="G6" s="70" t="n">
        <f aca="false">IFERROR(__xludf.dummyfunction("""COMPUTED_VALUE"""),996684)</f>
        <v>996684</v>
      </c>
      <c r="H6" s="70" t="n">
        <f aca="false">IFERROR(__xludf.dummyfunction("""COMPUTED_VALUE"""),283594)</f>
        <v>283594</v>
      </c>
      <c r="I6" s="70" t="n">
        <f aca="false">IFERROR(__xludf.dummyfunction("""COMPUTED_VALUE"""),121468)</f>
        <v>121468</v>
      </c>
      <c r="J6" s="70" t="n">
        <f aca="false">IFERROR(__xludf.dummyfunction("""COMPUTED_VALUE"""),40286)</f>
        <v>40286</v>
      </c>
      <c r="K6" s="70" t="n">
        <f aca="false">IFERROR(__xludf.dummyfunction("""COMPUTED_VALUE"""),27676)</f>
        <v>27676</v>
      </c>
      <c r="L6" s="70" t="n">
        <f aca="false">IFERROR(__xludf.dummyfunction("""COMPUTED_VALUE"""),1148278)</f>
        <v>1148278</v>
      </c>
      <c r="M6" s="70" t="n">
        <f aca="false">IFERROR(__xludf.dummyfunction("""COMPUTED_VALUE"""),303715)</f>
        <v>303715</v>
      </c>
      <c r="N6" s="70" t="n">
        <f aca="false">IFERROR(__xludf.dummyfunction("""COMPUTED_VALUE"""),42041)</f>
        <v>42041</v>
      </c>
      <c r="O6" s="70" t="n">
        <f aca="false">IFERROR(__xludf.dummyfunction("""COMPUTED_VALUE"""),65287)</f>
        <v>65287</v>
      </c>
      <c r="P6" s="70" t="n">
        <f aca="false">IFERROR(__xludf.dummyfunction("""COMPUTED_VALUE"""),670063)</f>
        <v>670063</v>
      </c>
      <c r="Q6" s="70" t="n">
        <f aca="false">IFERROR(__xludf.dummyfunction("""COMPUTED_VALUE"""),452659)</f>
        <v>452659</v>
      </c>
      <c r="R6" s="70" t="n">
        <f aca="false">IFERROR(__xludf.dummyfunction("""COMPUTED_VALUE"""),155418)</f>
        <v>155418</v>
      </c>
      <c r="S6" s="70" t="n">
        <f aca="false">IFERROR(__xludf.dummyfunction("""COMPUTED_VALUE"""),193351)</f>
        <v>193351</v>
      </c>
      <c r="T6" s="70" t="n">
        <f aca="false">IFERROR(__xludf.dummyfunction("""COMPUTED_VALUE"""),180530)</f>
        <v>180530</v>
      </c>
      <c r="U6" s="70" t="n">
        <f aca="false">IFERROR(__xludf.dummyfunction("""COMPUTED_VALUE"""),237047)</f>
        <v>237047</v>
      </c>
      <c r="V6" s="70" t="n">
        <f aca="false">IFERROR(__xludf.dummyfunction("""COMPUTED_VALUE"""),46178)</f>
        <v>46178</v>
      </c>
      <c r="W6" s="70" t="n">
        <f aca="false">IFERROR(__xludf.dummyfunction("""COMPUTED_VALUE"""),133566)</f>
        <v>133566</v>
      </c>
      <c r="X6" s="70" t="n">
        <f aca="false">IFERROR(__xludf.dummyfunction("""COMPUTED_VALUE"""),212747)</f>
        <v>212747</v>
      </c>
      <c r="Y6" s="70" t="n">
        <f aca="false">IFERROR(__xludf.dummyfunction("""COMPUTED_VALUE"""),467773)</f>
        <v>467773</v>
      </c>
      <c r="Z6" s="70" t="n">
        <f aca="false">IFERROR(__xludf.dummyfunction("""COMPUTED_VALUE"""),226252)</f>
        <v>226252</v>
      </c>
      <c r="AA6" s="70" t="n">
        <f aca="false">IFERROR(__xludf.dummyfunction("""COMPUTED_VALUE"""),89384)</f>
        <v>89384</v>
      </c>
      <c r="AB6" s="70" t="n">
        <f aca="false">IFERROR(__xludf.dummyfunction("""COMPUTED_VALUE"""),250471)</f>
        <v>250471</v>
      </c>
      <c r="AC6" s="70" t="n">
        <f aca="false">IFERROR(__xludf.dummyfunction("""COMPUTED_VALUE"""),61604)</f>
        <v>61604</v>
      </c>
      <c r="AD6" s="70" t="n">
        <f aca="false">IFERROR(__xludf.dummyfunction("""COMPUTED_VALUE"""),85922)</f>
        <v>85922</v>
      </c>
      <c r="AE6" s="70" t="n">
        <f aca="false">IFERROR(__xludf.dummyfunction("""COMPUTED_VALUE"""),108909)</f>
        <v>108909</v>
      </c>
      <c r="AF6" s="70" t="n">
        <f aca="false">IFERROR(__xludf.dummyfunction("""COMPUTED_VALUE"""),50464)</f>
        <v>50464</v>
      </c>
      <c r="AG6" s="70" t="n">
        <f aca="false">IFERROR(__xludf.dummyfunction("""COMPUTED_VALUE"""),332870)</f>
        <v>332870</v>
      </c>
      <c r="AH6" s="70" t="n">
        <f aca="false">IFERROR(__xludf.dummyfunction("""COMPUTED_VALUE"""),94727)</f>
        <v>94727</v>
      </c>
      <c r="AI6" s="70" t="n">
        <f aca="false">IFERROR(__xludf.dummyfunction("""COMPUTED_VALUE"""),659305)</f>
        <v>659305</v>
      </c>
      <c r="AJ6" s="70" t="n">
        <f aca="false">IFERROR(__xludf.dummyfunction("""COMPUTED_VALUE"""),510107)</f>
        <v>510107</v>
      </c>
      <c r="AK6" s="70" t="n">
        <f aca="false">IFERROR(__xludf.dummyfunction("""COMPUTED_VALUE"""),54702)</f>
        <v>54702</v>
      </c>
      <c r="AL6" s="70" t="n">
        <f aca="false">IFERROR(__xludf.dummyfunction("""COMPUTED_VALUE"""),605626)</f>
        <v>605626</v>
      </c>
      <c r="AM6" s="70" t="n">
        <f aca="false">IFERROR(__xludf.dummyfunction("""COMPUTED_VALUE"""),135366)</f>
        <v>135366</v>
      </c>
      <c r="AN6" s="70" t="n">
        <f aca="false">IFERROR(__xludf.dummyfunction("""COMPUTED_VALUE"""),158473)</f>
        <v>158473</v>
      </c>
      <c r="AO6" s="70" t="n">
        <f aca="false">IFERROR(__xludf.dummyfunction("""COMPUTED_VALUE"""),573199)</f>
        <v>573199</v>
      </c>
      <c r="AP6" s="70" t="n">
        <f aca="false">IFERROR(__xludf.dummyfunction("""COMPUTED_VALUE"""),39925)</f>
        <v>39925</v>
      </c>
      <c r="AQ6" s="70" t="n">
        <f aca="false">IFERROR(__xludf.dummyfunction("""COMPUTED_VALUE"""),266520)</f>
        <v>266520</v>
      </c>
      <c r="AR6" s="70" t="n">
        <f aca="false">IFERROR(__xludf.dummyfunction("""COMPUTED_VALUE"""),51635)</f>
        <v>51635</v>
      </c>
      <c r="AS6" s="70" t="n">
        <f aca="false">IFERROR(__xludf.dummyfunction("""COMPUTED_VALUE"""),234698)</f>
        <v>234698</v>
      </c>
      <c r="AT6" s="70" t="n">
        <f aca="false">IFERROR(__xludf.dummyfunction("""COMPUTED_VALUE"""),1337100)</f>
        <v>1337100</v>
      </c>
      <c r="AU6" s="70" t="n">
        <f aca="false">IFERROR(__xludf.dummyfunction("""COMPUTED_VALUE"""),127400)</f>
        <v>127400</v>
      </c>
      <c r="AV6" s="70" t="n">
        <f aca="false">IFERROR(__xludf.dummyfunction("""COMPUTED_VALUE"""),22227)</f>
        <v>22227</v>
      </c>
      <c r="AW6" s="70" t="n">
        <f aca="false">IFERROR(__xludf.dummyfunction("""COMPUTED_VALUE"""),267668)</f>
        <v>267668</v>
      </c>
      <c r="AX6" s="70" t="n">
        <f aca="false">IFERROR(__xludf.dummyfunction("""COMPUTED_VALUE"""),241024)</f>
        <v>241024</v>
      </c>
      <c r="AY6" s="70" t="n">
        <f aca="false">IFERROR(__xludf.dummyfunction("""COMPUTED_VALUE"""),109755)</f>
        <v>109755</v>
      </c>
      <c r="AZ6" s="70" t="n">
        <f aca="false">IFERROR(__xludf.dummyfunction("""COMPUTED_VALUE"""),288352)</f>
        <v>288352</v>
      </c>
      <c r="BA6" s="70" t="n">
        <f aca="false">IFERROR(__xludf.dummyfunction("""COMPUTED_VALUE"""),35462)</f>
        <v>35462</v>
      </c>
    </row>
    <row r="7" customFormat="false" ht="15.75" hidden="false" customHeight="false" outlineLevel="0" collapsed="false">
      <c r="A7" s="71" t="str">
        <f aca="false">IFERROR(__xludf.dummyfunction("""COMPUTED_VALUE"""),"street_pre_direction")</f>
        <v>street_pre_direction</v>
      </c>
      <c r="B7" s="72" t="n">
        <f aca="false">IFERROR(__xludf.dummyfunction("""COMPUTED_VALUE"""),4377370)</f>
        <v>4377370</v>
      </c>
      <c r="C7" s="73" t="n">
        <f aca="false">IFERROR(__xludf.dummyfunction("""COMPUTED_VALUE"""),32843)</f>
        <v>32843</v>
      </c>
      <c r="D7" s="70" t="n">
        <f aca="false">IFERROR(__xludf.dummyfunction("""COMPUTED_VALUE"""),11730)</f>
        <v>11730</v>
      </c>
      <c r="E7" s="70" t="n">
        <f aca="false">IFERROR(__xludf.dummyfunction("""COMPUTED_VALUE"""),323869)</f>
        <v>323869</v>
      </c>
      <c r="F7" s="70" t="n">
        <f aca="false">IFERROR(__xludf.dummyfunction("""COMPUTED_VALUE"""),71557)</f>
        <v>71557</v>
      </c>
      <c r="G7" s="70" t="n">
        <f aca="false">IFERROR(__xludf.dummyfunction("""COMPUTED_VALUE"""),239955)</f>
        <v>239955</v>
      </c>
      <c r="H7" s="70" t="n">
        <f aca="false">IFERROR(__xludf.dummyfunction("""COMPUTED_VALUE"""),76547)</f>
        <v>76547</v>
      </c>
      <c r="I7" s="70" t="n">
        <f aca="false">IFERROR(__xludf.dummyfunction("""COMPUTED_VALUE"""),10073)</f>
        <v>10073</v>
      </c>
      <c r="J7" s="70" t="n">
        <f aca="false">IFERROR(__xludf.dummyfunction("""COMPUTED_VALUE"""),8080)</f>
        <v>8080</v>
      </c>
      <c r="K7" s="70" t="n">
        <f aca="false">IFERROR(__xludf.dummyfunction("""COMPUTED_VALUE"""),368)</f>
        <v>368</v>
      </c>
      <c r="L7" s="70" t="n">
        <f aca="false">IFERROR(__xludf.dummyfunction("""COMPUTED_VALUE"""),406582)</f>
        <v>406582</v>
      </c>
      <c r="M7" s="70" t="n">
        <f aca="false">IFERROR(__xludf.dummyfunction("""COMPUTED_VALUE"""),49777)</f>
        <v>49777</v>
      </c>
      <c r="N7" s="70" t="n">
        <f aca="false">IFERROR(__xludf.dummyfunction("""COMPUTED_VALUE"""),2823)</f>
        <v>2823</v>
      </c>
      <c r="O7" s="70" t="n">
        <f aca="false">IFERROR(__xludf.dummyfunction("""COMPUTED_VALUE"""),36824)</f>
        <v>36824</v>
      </c>
      <c r="P7" s="70" t="n">
        <f aca="false">IFERROR(__xludf.dummyfunction("""COMPUTED_VALUE"""),424514)</f>
        <v>424514</v>
      </c>
      <c r="Q7" s="70" t="n">
        <f aca="false">IFERROR(__xludf.dummyfunction("""COMPUTED_VALUE"""),284908)</f>
        <v>284908</v>
      </c>
      <c r="R7" s="70" t="n">
        <f aca="false">IFERROR(__xludf.dummyfunction("""COMPUTED_VALUE"""),40522)</f>
        <v>40522</v>
      </c>
      <c r="S7" s="70" t="n">
        <f aca="false">IFERROR(__xludf.dummyfunction("""COMPUTED_VALUE"""),109659)</f>
        <v>109659</v>
      </c>
      <c r="T7" s="70" t="n">
        <f aca="false">IFERROR(__xludf.dummyfunction("""COMPUTED_VALUE"""),37171)</f>
        <v>37171</v>
      </c>
      <c r="U7" s="70" t="n">
        <f aca="false">IFERROR(__xludf.dummyfunction("""COMPUTED_VALUE"""),35673)</f>
        <v>35673</v>
      </c>
      <c r="V7" s="70" t="n">
        <f aca="false">IFERROR(__xludf.dummyfunction("""COMPUTED_VALUE"""),2713)</f>
        <v>2713</v>
      </c>
      <c r="W7" s="70" t="n">
        <f aca="false">IFERROR(__xludf.dummyfunction("""COMPUTED_VALUE"""),23565)</f>
        <v>23565</v>
      </c>
      <c r="X7" s="70" t="n">
        <f aca="false">IFERROR(__xludf.dummyfunction("""COMPUTED_VALUE"""),19116)</f>
        <v>19116</v>
      </c>
      <c r="Y7" s="70" t="n">
        <f aca="false">IFERROR(__xludf.dummyfunction("""COMPUTED_VALUE"""),153949)</f>
        <v>153949</v>
      </c>
      <c r="Z7" s="70" t="n">
        <f aca="false">IFERROR(__xludf.dummyfunction("""COMPUTED_VALUE"""),27944)</f>
        <v>27944</v>
      </c>
      <c r="AA7" s="70" t="n">
        <f aca="false">IFERROR(__xludf.dummyfunction("""COMPUTED_VALUE"""),26545)</f>
        <v>26545</v>
      </c>
      <c r="AB7" s="70" t="n">
        <f aca="false">IFERROR(__xludf.dummyfunction("""COMPUTED_VALUE"""),118559)</f>
        <v>118559</v>
      </c>
      <c r="AC7" s="70" t="n">
        <f aca="false">IFERROR(__xludf.dummyfunction("""COMPUTED_VALUE"""),12148)</f>
        <v>12148</v>
      </c>
      <c r="AD7" s="70" t="n">
        <f aca="false">IFERROR(__xludf.dummyfunction("""COMPUTED_VALUE"""),35950)</f>
        <v>35950</v>
      </c>
      <c r="AE7" s="70" t="n">
        <f aca="false">IFERROR(__xludf.dummyfunction("""COMPUTED_VALUE"""),50082)</f>
        <v>50082</v>
      </c>
      <c r="AF7" s="70" t="n">
        <f aca="false">IFERROR(__xludf.dummyfunction("""COMPUTED_VALUE"""),3970)</f>
        <v>3970</v>
      </c>
      <c r="AG7" s="70" t="n">
        <f aca="false">IFERROR(__xludf.dummyfunction("""COMPUTED_VALUE"""),48419)</f>
        <v>48419</v>
      </c>
      <c r="AH7" s="70" t="n">
        <f aca="false">IFERROR(__xludf.dummyfunction("""COMPUTED_VALUE"""),26682)</f>
        <v>26682</v>
      </c>
      <c r="AI7" s="70" t="n">
        <f aca="false">IFERROR(__xludf.dummyfunction("""COMPUTED_VALUE"""),96863)</f>
        <v>96863</v>
      </c>
      <c r="AJ7" s="70" t="n">
        <f aca="false">IFERROR(__xludf.dummyfunction("""COMPUTED_VALUE"""),97116)</f>
        <v>97116</v>
      </c>
      <c r="AK7" s="70" t="n">
        <f aca="false">IFERROR(__xludf.dummyfunction("""COMPUTED_VALUE"""),5574)</f>
        <v>5574</v>
      </c>
      <c r="AL7" s="70" t="n">
        <f aca="false">IFERROR(__xludf.dummyfunction("""COMPUTED_VALUE"""),179719)</f>
        <v>179719</v>
      </c>
      <c r="AM7" s="70" t="n">
        <f aca="false">IFERROR(__xludf.dummyfunction("""COMPUTED_VALUE"""),104884)</f>
        <v>104884</v>
      </c>
      <c r="AN7" s="70" t="n">
        <f aca="false">IFERROR(__xludf.dummyfunction("""COMPUTED_VALUE"""),86785)</f>
        <v>86785</v>
      </c>
      <c r="AO7" s="70" t="n">
        <f aca="false">IFERROR(__xludf.dummyfunction("""COMPUTED_VALUE"""),156971)</f>
        <v>156971</v>
      </c>
      <c r="AP7" s="70" t="n">
        <f aca="false">IFERROR(__xludf.dummyfunction("""COMPUTED_VALUE"""),2641)</f>
        <v>2641</v>
      </c>
      <c r="AQ7" s="70" t="n">
        <f aca="false">IFERROR(__xludf.dummyfunction("""COMPUTED_VALUE"""),38721)</f>
        <v>38721</v>
      </c>
      <c r="AR7" s="70" t="n">
        <f aca="false">IFERROR(__xludf.dummyfunction("""COMPUTED_VALUE"""),20715)</f>
        <v>20715</v>
      </c>
      <c r="AS7" s="70" t="n">
        <f aca="false">IFERROR(__xludf.dummyfunction("""COMPUTED_VALUE"""),48320)</f>
        <v>48320</v>
      </c>
      <c r="AT7" s="70" t="n">
        <f aca="false">IFERROR(__xludf.dummyfunction("""COMPUTED_VALUE"""),423338)</f>
        <v>423338</v>
      </c>
      <c r="AU7" s="70" t="n">
        <f aca="false">IFERROR(__xludf.dummyfunction("""COMPUTED_VALUE"""),117520)</f>
        <v>117520</v>
      </c>
      <c r="AV7" s="70" t="n">
        <f aca="false">IFERROR(__xludf.dummyfunction("""COMPUTED_VALUE"""),2143)</f>
        <v>2143</v>
      </c>
      <c r="AW7" s="70" t="n">
        <f aca="false">IFERROR(__xludf.dummyfunction("""COMPUTED_VALUE"""),39263)</f>
        <v>39263</v>
      </c>
      <c r="AX7" s="70" t="n">
        <f aca="false">IFERROR(__xludf.dummyfunction("""COMPUTED_VALUE"""),89195)</f>
        <v>89195</v>
      </c>
      <c r="AY7" s="70" t="n">
        <f aca="false">IFERROR(__xludf.dummyfunction("""COMPUTED_VALUE"""),18287)</f>
        <v>18287</v>
      </c>
      <c r="AZ7" s="70" t="n">
        <f aca="false">IFERROR(__xludf.dummyfunction("""COMPUTED_VALUE"""),83134)</f>
        <v>83134</v>
      </c>
      <c r="BA7" s="70" t="n">
        <f aca="false">IFERROR(__xludf.dummyfunction("""COMPUTED_VALUE"""),13064)</f>
        <v>13064</v>
      </c>
    </row>
    <row r="8" customFormat="false" ht="15.75" hidden="false" customHeight="false" outlineLevel="0" collapsed="false">
      <c r="A8" s="71" t="str">
        <f aca="false">IFERROR(__xludf.dummyfunction("""COMPUTED_VALUE"""),"street_name")</f>
        <v>street_name</v>
      </c>
      <c r="B8" s="72" t="n">
        <f aca="false">IFERROR(__xludf.dummyfunction("""COMPUTED_VALUE"""),23639888)</f>
        <v>23639888</v>
      </c>
      <c r="C8" s="73" t="n">
        <f aca="false">IFERROR(__xludf.dummyfunction("""COMPUTED_VALUE"""),472611)</f>
        <v>472611</v>
      </c>
      <c r="D8" s="70" t="n">
        <f aca="false">IFERROR(__xludf.dummyfunction("""COMPUTED_VALUE"""),57277)</f>
        <v>57277</v>
      </c>
      <c r="E8" s="70" t="n">
        <f aca="false">IFERROR(__xludf.dummyfunction("""COMPUTED_VALUE"""),413045)</f>
        <v>413045</v>
      </c>
      <c r="F8" s="70" t="n">
        <f aca="false">IFERROR(__xludf.dummyfunction("""COMPUTED_VALUE"""),526460)</f>
        <v>526460</v>
      </c>
      <c r="G8" s="70" t="n">
        <f aca="false">IFERROR(__xludf.dummyfunction("""COMPUTED_VALUE"""),1273402)</f>
        <v>1273402</v>
      </c>
      <c r="H8" s="70" t="n">
        <f aca="false">IFERROR(__xludf.dummyfunction("""COMPUTED_VALUE"""),322388)</f>
        <v>322388</v>
      </c>
      <c r="I8" s="70" t="n">
        <f aca="false">IFERROR(__xludf.dummyfunction("""COMPUTED_VALUE"""),182064)</f>
        <v>182064</v>
      </c>
      <c r="J8" s="70" t="n">
        <f aca="false">IFERROR(__xludf.dummyfunction("""COMPUTED_VALUE"""),61246)</f>
        <v>61246</v>
      </c>
      <c r="K8" s="70" t="n">
        <f aca="false">IFERROR(__xludf.dummyfunction("""COMPUTED_VALUE"""),37621)</f>
        <v>37621</v>
      </c>
      <c r="L8" s="70" t="n">
        <f aca="false">IFERROR(__xludf.dummyfunction("""COMPUTED_VALUE"""),1638131)</f>
        <v>1638131</v>
      </c>
      <c r="M8" s="70" t="n">
        <f aca="false">IFERROR(__xludf.dummyfunction("""COMPUTED_VALUE"""),568663)</f>
        <v>568663</v>
      </c>
      <c r="N8" s="70" t="n">
        <f aca="false">IFERROR(__xludf.dummyfunction("""COMPUTED_VALUE"""),85238)</f>
        <v>85238</v>
      </c>
      <c r="O8" s="70" t="n">
        <f aca="false">IFERROR(__xludf.dummyfunction("""COMPUTED_VALUE"""),83042)</f>
        <v>83042</v>
      </c>
      <c r="P8" s="70" t="n">
        <f aca="false">IFERROR(__xludf.dummyfunction("""COMPUTED_VALUE"""),876224)</f>
        <v>876224</v>
      </c>
      <c r="Q8" s="70" t="n">
        <f aca="false">IFERROR(__xludf.dummyfunction("""COMPUTED_VALUE"""),916029)</f>
        <v>916029</v>
      </c>
      <c r="R8" s="70" t="n">
        <f aca="false">IFERROR(__xludf.dummyfunction("""COMPUTED_VALUE"""),204161)</f>
        <v>204161</v>
      </c>
      <c r="S8" s="70" t="n">
        <f aca="false">IFERROR(__xludf.dummyfunction("""COMPUTED_VALUE"""),489606)</f>
        <v>489606</v>
      </c>
      <c r="T8" s="70" t="n">
        <f aca="false">IFERROR(__xludf.dummyfunction("""COMPUTED_VALUE"""),355090)</f>
        <v>355090</v>
      </c>
      <c r="U8" s="70" t="n">
        <f aca="false">IFERROR(__xludf.dummyfunction("""COMPUTED_VALUE"""),325082)</f>
        <v>325082</v>
      </c>
      <c r="V8" s="70" t="n">
        <f aca="false">IFERROR(__xludf.dummyfunction("""COMPUTED_VALUE"""),122859)</f>
        <v>122859</v>
      </c>
      <c r="W8" s="70" t="n">
        <f aca="false">IFERROR(__xludf.dummyfunction("""COMPUTED_VALUE"""),263841)</f>
        <v>263841</v>
      </c>
      <c r="X8" s="70" t="n">
        <f aca="false">IFERROR(__xludf.dummyfunction("""COMPUTED_VALUE"""),381000)</f>
        <v>381000</v>
      </c>
      <c r="Y8" s="70" t="n">
        <f aca="false">IFERROR(__xludf.dummyfunction("""COMPUTED_VALUE"""),725324)</f>
        <v>725324</v>
      </c>
      <c r="Z8" s="70" t="n">
        <f aca="false">IFERROR(__xludf.dummyfunction("""COMPUTED_VALUE"""),250638)</f>
        <v>250638</v>
      </c>
      <c r="AA8" s="70" t="n">
        <f aca="false">IFERROR(__xludf.dummyfunction("""COMPUTED_VALUE"""),258106)</f>
        <v>258106</v>
      </c>
      <c r="AB8" s="70" t="n">
        <f aca="false">IFERROR(__xludf.dummyfunction("""COMPUTED_VALUE"""),456571)</f>
        <v>456571</v>
      </c>
      <c r="AC8" s="70" t="n">
        <f aca="false">IFERROR(__xludf.dummyfunction("""COMPUTED_VALUE"""),97948)</f>
        <v>97948</v>
      </c>
      <c r="AD8" s="70" t="n">
        <f aca="false">IFERROR(__xludf.dummyfunction("""COMPUTED_VALUE"""),99057)</f>
        <v>99057</v>
      </c>
      <c r="AE8" s="70" t="n">
        <f aca="false">IFERROR(__xludf.dummyfunction("""COMPUTED_VALUE"""),136110)</f>
        <v>136110</v>
      </c>
      <c r="AF8" s="70" t="n">
        <f aca="false">IFERROR(__xludf.dummyfunction("""COMPUTED_VALUE"""),125354)</f>
        <v>125354</v>
      </c>
      <c r="AG8" s="70" t="n">
        <f aca="false">IFERROR(__xludf.dummyfunction("""COMPUTED_VALUE"""),515975)</f>
        <v>515975</v>
      </c>
      <c r="AH8" s="70" t="n">
        <f aca="false">IFERROR(__xludf.dummyfunction("""COMPUTED_VALUE"""),134335)</f>
        <v>134335</v>
      </c>
      <c r="AI8" s="70" t="n">
        <f aca="false">IFERROR(__xludf.dummyfunction("""COMPUTED_VALUE"""),1241335)</f>
        <v>1241335</v>
      </c>
      <c r="AJ8" s="70" t="n">
        <f aca="false">IFERROR(__xludf.dummyfunction("""COMPUTED_VALUE"""),1010821)</f>
        <v>1010821</v>
      </c>
      <c r="AK8" s="70" t="n">
        <f aca="false">IFERROR(__xludf.dummyfunction("""COMPUTED_VALUE"""),67990)</f>
        <v>67990</v>
      </c>
      <c r="AL8" s="70" t="n">
        <f aca="false">IFERROR(__xludf.dummyfunction("""COMPUTED_VALUE"""),1721676)</f>
        <v>1721676</v>
      </c>
      <c r="AM8" s="70" t="n">
        <f aca="false">IFERROR(__xludf.dummyfunction("""COMPUTED_VALUE"""),165281)</f>
        <v>165281</v>
      </c>
      <c r="AN8" s="70" t="n">
        <f aca="false">IFERROR(__xludf.dummyfunction("""COMPUTED_VALUE"""),205249)</f>
        <v>205249</v>
      </c>
      <c r="AO8" s="70" t="n">
        <f aca="false">IFERROR(__xludf.dummyfunction("""COMPUTED_VALUE"""),1087131)</f>
        <v>1087131</v>
      </c>
      <c r="AP8" s="70" t="n">
        <f aca="false">IFERROR(__xludf.dummyfunction("""COMPUTED_VALUE"""),79678)</f>
        <v>79678</v>
      </c>
      <c r="AQ8" s="70" t="n">
        <f aca="false">IFERROR(__xludf.dummyfunction("""COMPUTED_VALUE"""),459096)</f>
        <v>459096</v>
      </c>
      <c r="AR8" s="70" t="n">
        <f aca="false">IFERROR(__xludf.dummyfunction("""COMPUTED_VALUE"""),58205)</f>
        <v>58205</v>
      </c>
      <c r="AS8" s="70" t="n">
        <f aca="false">IFERROR(__xludf.dummyfunction("""COMPUTED_VALUE"""),478399)</f>
        <v>478399</v>
      </c>
      <c r="AT8" s="70" t="n">
        <f aca="false">IFERROR(__xludf.dummyfunction("""COMPUTED_VALUE"""),2714388)</f>
        <v>2714388</v>
      </c>
      <c r="AU8" s="70" t="n">
        <f aca="false">IFERROR(__xludf.dummyfunction("""COMPUTED_VALUE"""),134059)</f>
        <v>134059</v>
      </c>
      <c r="AV8" s="70" t="n">
        <f aca="false">IFERROR(__xludf.dummyfunction("""COMPUTED_VALUE"""),29073)</f>
        <v>29073</v>
      </c>
      <c r="AW8" s="70" t="n">
        <f aca="false">IFERROR(__xludf.dummyfunction("""COMPUTED_VALUE"""),376099)</f>
        <v>376099</v>
      </c>
      <c r="AX8" s="70" t="n">
        <f aca="false">IFERROR(__xludf.dummyfunction("""COMPUTED_VALUE"""),335073)</f>
        <v>335073</v>
      </c>
      <c r="AY8" s="70" t="n">
        <f aca="false">IFERROR(__xludf.dummyfunction("""COMPUTED_VALUE"""),597807)</f>
        <v>597807</v>
      </c>
      <c r="AZ8" s="70" t="n">
        <f aca="false">IFERROR(__xludf.dummyfunction("""COMPUTED_VALUE"""),357341)</f>
        <v>357341</v>
      </c>
      <c r="BA8" s="70" t="n">
        <f aca="false">IFERROR(__xludf.dummyfunction("""COMPUTED_VALUE"""),66689)</f>
        <v>66689</v>
      </c>
    </row>
    <row r="9" customFormat="false" ht="15.75" hidden="false" customHeight="false" outlineLevel="0" collapsed="false">
      <c r="A9" s="71" t="str">
        <f aca="false">IFERROR(__xludf.dummyfunction("""COMPUTED_VALUE"""),"street_suffix")</f>
        <v>street_suffix</v>
      </c>
      <c r="B9" s="72" t="n">
        <f aca="false">IFERROR(__xludf.dummyfunction("""COMPUTED_VALUE"""),20033579)</f>
        <v>20033579</v>
      </c>
      <c r="C9" s="73" t="n">
        <f aca="false">IFERROR(__xludf.dummyfunction("""COMPUTED_VALUE"""),374684)</f>
        <v>374684</v>
      </c>
      <c r="D9" s="70" t="n">
        <f aca="false">IFERROR(__xludf.dummyfunction("""COMPUTED_VALUE"""),53430)</f>
        <v>53430</v>
      </c>
      <c r="E9" s="70" t="n">
        <f aca="false">IFERROR(__xludf.dummyfunction("""COMPUTED_VALUE"""),367576)</f>
        <v>367576</v>
      </c>
      <c r="F9" s="70" t="n">
        <f aca="false">IFERROR(__xludf.dummyfunction("""COMPUTED_VALUE"""),418119)</f>
        <v>418119</v>
      </c>
      <c r="G9" s="70" t="n">
        <f aca="false">IFERROR(__xludf.dummyfunction("""COMPUTED_VALUE"""),1143598)</f>
        <v>1143598</v>
      </c>
      <c r="H9" s="70" t="n">
        <f aca="false">IFERROR(__xludf.dummyfunction("""COMPUTED_VALUE"""),271223)</f>
        <v>271223</v>
      </c>
      <c r="I9" s="70" t="n">
        <f aca="false">IFERROR(__xludf.dummyfunction("""COMPUTED_VALUE"""),176573)</f>
        <v>176573</v>
      </c>
      <c r="J9" s="70" t="n">
        <f aca="false">IFERROR(__xludf.dummyfunction("""COMPUTED_VALUE"""),60652)</f>
        <v>60652</v>
      </c>
      <c r="K9" s="70" t="n">
        <f aca="false">IFERROR(__xludf.dummyfunction("""COMPUTED_VALUE"""),35836)</f>
        <v>35836</v>
      </c>
      <c r="L9" s="70" t="n">
        <f aca="false">IFERROR(__xludf.dummyfunction("""COMPUTED_VALUE"""),1533869)</f>
        <v>1533869</v>
      </c>
      <c r="M9" s="70" t="n">
        <f aca="false">IFERROR(__xludf.dummyfunction("""COMPUTED_VALUE"""),515159)</f>
        <v>515159</v>
      </c>
      <c r="N9" s="70" t="n">
        <f aca="false">IFERROR(__xludf.dummyfunction("""COMPUTED_VALUE"""),76482)</f>
        <v>76482</v>
      </c>
      <c r="O9" s="70" t="n">
        <f aca="false">IFERROR(__xludf.dummyfunction("""COMPUTED_VALUE"""),69675)</f>
        <v>69675</v>
      </c>
      <c r="P9" s="70" t="n">
        <f aca="false">IFERROR(__xludf.dummyfunction("""COMPUTED_VALUE"""),806330)</f>
        <v>806330</v>
      </c>
      <c r="Q9" s="70" t="n">
        <f aca="false">IFERROR(__xludf.dummyfunction("""COMPUTED_VALUE"""),618971)</f>
        <v>618971</v>
      </c>
      <c r="R9" s="70" t="n">
        <f aca="false">IFERROR(__xludf.dummyfunction("""COMPUTED_VALUE"""),182178)</f>
        <v>182178</v>
      </c>
      <c r="S9" s="70" t="n">
        <f aca="false">IFERROR(__xludf.dummyfunction("""COMPUTED_VALUE"""),404485)</f>
        <v>404485</v>
      </c>
      <c r="T9" s="70" t="n">
        <f aca="false">IFERROR(__xludf.dummyfunction("""COMPUTED_VALUE"""),302418)</f>
        <v>302418</v>
      </c>
      <c r="U9" s="70" t="n">
        <f aca="false">IFERROR(__xludf.dummyfunction("""COMPUTED_VALUE"""),281989)</f>
        <v>281989</v>
      </c>
      <c r="V9" s="70" t="n">
        <f aca="false">IFERROR(__xludf.dummyfunction("""COMPUTED_VALUE"""),112761)</f>
        <v>112761</v>
      </c>
      <c r="W9" s="70" t="n">
        <f aca="false">IFERROR(__xludf.dummyfunction("""COMPUTED_VALUE"""),258672)</f>
        <v>258672</v>
      </c>
      <c r="X9" s="70" t="n">
        <f aca="false">IFERROR(__xludf.dummyfunction("""COMPUTED_VALUE"""),355852)</f>
        <v>355852</v>
      </c>
      <c r="Y9" s="70" t="n">
        <f aca="false">IFERROR(__xludf.dummyfunction("""COMPUTED_VALUE"""),649442)</f>
        <v>649442</v>
      </c>
      <c r="Z9" s="70" t="n">
        <f aca="false">IFERROR(__xludf.dummyfunction("""COMPUTED_VALUE"""),216696)</f>
        <v>216696</v>
      </c>
      <c r="AA9" s="70" t="n">
        <f aca="false">IFERROR(__xludf.dummyfunction("""COMPUTED_VALUE"""),197905)</f>
        <v>197905</v>
      </c>
      <c r="AB9" s="70" t="n">
        <f aca="false">IFERROR(__xludf.dummyfunction("""COMPUTED_VALUE"""),337676)</f>
        <v>337676</v>
      </c>
      <c r="AC9" s="70" t="n">
        <f aca="false">IFERROR(__xludf.dummyfunction("""COMPUTED_VALUE"""),88675)</f>
        <v>88675</v>
      </c>
      <c r="AD9" s="70" t="n">
        <f aca="false">IFERROR(__xludf.dummyfunction("""COMPUTED_VALUE"""),78751)</f>
        <v>78751</v>
      </c>
      <c r="AE9" s="70" t="n">
        <f aca="false">IFERROR(__xludf.dummyfunction("""COMPUTED_VALUE"""),127709)</f>
        <v>127709</v>
      </c>
      <c r="AF9" s="70" t="n">
        <f aca="false">IFERROR(__xludf.dummyfunction("""COMPUTED_VALUE"""),113500)</f>
        <v>113500</v>
      </c>
      <c r="AG9" s="70" t="n">
        <f aca="false">IFERROR(__xludf.dummyfunction("""COMPUTED_VALUE"""),459583)</f>
        <v>459583</v>
      </c>
      <c r="AH9" s="70" t="n">
        <f aca="false">IFERROR(__xludf.dummyfunction("""COMPUTED_VALUE"""),109945)</f>
        <v>109945</v>
      </c>
      <c r="AI9" s="70" t="n">
        <f aca="false">IFERROR(__xludf.dummyfunction("""COMPUTED_VALUE"""),1056658)</f>
        <v>1056658</v>
      </c>
      <c r="AJ9" s="70" t="n">
        <f aca="false">IFERROR(__xludf.dummyfunction("""COMPUTED_VALUE"""),939599)</f>
        <v>939599</v>
      </c>
      <c r="AK9" s="70" t="n">
        <f aca="false">IFERROR(__xludf.dummyfunction("""COMPUTED_VALUE"""),53310)</f>
        <v>53310</v>
      </c>
      <c r="AL9" s="70" t="n">
        <f aca="false">IFERROR(__xludf.dummyfunction("""COMPUTED_VALUE"""),1436102)</f>
        <v>1436102</v>
      </c>
      <c r="AM9" s="70" t="n">
        <f aca="false">IFERROR(__xludf.dummyfunction("""COMPUTED_VALUE"""),130590)</f>
        <v>130590</v>
      </c>
      <c r="AN9" s="70" t="n">
        <f aca="false">IFERROR(__xludf.dummyfunction("""COMPUTED_VALUE"""),188001)</f>
        <v>188001</v>
      </c>
      <c r="AO9" s="70" t="n">
        <f aca="false">IFERROR(__xludf.dummyfunction("""COMPUTED_VALUE"""),998917)</f>
        <v>998917</v>
      </c>
      <c r="AP9" s="70" t="n">
        <f aca="false">IFERROR(__xludf.dummyfunction("""COMPUTED_VALUE"""),77509)</f>
        <v>77509</v>
      </c>
      <c r="AQ9" s="70" t="n">
        <f aca="false">IFERROR(__xludf.dummyfunction("""COMPUTED_VALUE"""),408460)</f>
        <v>408460</v>
      </c>
      <c r="AR9" s="70" t="n">
        <f aca="false">IFERROR(__xludf.dummyfunction("""COMPUTED_VALUE"""),52095)</f>
        <v>52095</v>
      </c>
      <c r="AS9" s="70" t="n">
        <f aca="false">IFERROR(__xludf.dummyfunction("""COMPUTED_VALUE"""),426250)</f>
        <v>426250</v>
      </c>
      <c r="AT9" s="70" t="n">
        <f aca="false">IFERROR(__xludf.dummyfunction("""COMPUTED_VALUE"""),1919480)</f>
        <v>1919480</v>
      </c>
      <c r="AU9" s="70" t="n">
        <f aca="false">IFERROR(__xludf.dummyfunction("""COMPUTED_VALUE"""),73706)</f>
        <v>73706</v>
      </c>
      <c r="AV9" s="70" t="n">
        <f aca="false">IFERROR(__xludf.dummyfunction("""COMPUTED_VALUE"""),24336)</f>
        <v>24336</v>
      </c>
      <c r="AW9" s="70" t="n">
        <f aca="false">IFERROR(__xludf.dummyfunction("""COMPUTED_VALUE"""),367152)</f>
        <v>367152</v>
      </c>
      <c r="AX9" s="70" t="n">
        <f aca="false">IFERROR(__xludf.dummyfunction("""COMPUTED_VALUE"""),307926)</f>
        <v>307926</v>
      </c>
      <c r="AY9" s="70" t="n">
        <f aca="false">IFERROR(__xludf.dummyfunction("""COMPUTED_VALUE"""),422688)</f>
        <v>422688</v>
      </c>
      <c r="AZ9" s="70" t="n">
        <f aca="false">IFERROR(__xludf.dummyfunction("""COMPUTED_VALUE"""),297032)</f>
        <v>297032</v>
      </c>
      <c r="BA9" s="70" t="n">
        <f aca="false">IFERROR(__xludf.dummyfunction("""COMPUTED_VALUE"""),53354)</f>
        <v>53354</v>
      </c>
    </row>
    <row r="10" customFormat="false" ht="15.75" hidden="false" customHeight="false" outlineLevel="0" collapsed="false">
      <c r="A10" s="71" t="str">
        <f aca="false">IFERROR(__xludf.dummyfunction("""COMPUTED_VALUE"""),"street_post_direction")</f>
        <v>street_post_direction</v>
      </c>
      <c r="B10" s="72" t="n">
        <f aca="false">IFERROR(__xludf.dummyfunction("""COMPUTED_VALUE"""),1381849)</f>
        <v>1381849</v>
      </c>
      <c r="C10" s="73" t="n">
        <f aca="false">IFERROR(__xludf.dummyfunction("""COMPUTED_VALUE"""),60659)</f>
        <v>60659</v>
      </c>
      <c r="D10" s="70" t="n">
        <f aca="false">IFERROR(__xludf.dummyfunction("""COMPUTED_VALUE"""),958)</f>
        <v>958</v>
      </c>
      <c r="E10" s="70" t="n">
        <f aca="false">IFERROR(__xludf.dummyfunction("""COMPUTED_VALUE"""),2928)</f>
        <v>2928</v>
      </c>
      <c r="F10" s="70" t="n">
        <f aca="false">IFERROR(__xludf.dummyfunction("""COMPUTED_VALUE"""),21557)</f>
        <v>21557</v>
      </c>
      <c r="G10" s="70" t="n">
        <f aca="false">IFERROR(__xludf.dummyfunction("""COMPUTED_VALUE"""),10983)</f>
        <v>10983</v>
      </c>
      <c r="H10" s="70" t="n">
        <f aca="false">IFERROR(__xludf.dummyfunction("""COMPUTED_VALUE"""),4624)</f>
        <v>4624</v>
      </c>
      <c r="I10" s="70" t="n">
        <f aca="false">IFERROR(__xludf.dummyfunction("""COMPUTED_VALUE"""),1836)</f>
        <v>1836</v>
      </c>
      <c r="J10" s="70" t="n">
        <f aca="false">IFERROR(__xludf.dummyfunction("""COMPUTED_VALUE"""),106)</f>
        <v>106</v>
      </c>
      <c r="K10" s="70" t="n">
        <f aca="false">IFERROR(__xludf.dummyfunction("""COMPUTED_VALUE"""),35669)</f>
        <v>35669</v>
      </c>
      <c r="L10" s="70" t="n">
        <f aca="false">IFERROR(__xludf.dummyfunction("""COMPUTED_VALUE"""),165396)</f>
        <v>165396</v>
      </c>
      <c r="M10" s="70" t="n">
        <f aca="false">IFERROR(__xludf.dummyfunction("""COMPUTED_VALUE"""),77024)</f>
        <v>77024</v>
      </c>
      <c r="N10" s="70" t="n">
        <f aca="false">IFERROR(__xludf.dummyfunction("""COMPUTED_VALUE"""),46)</f>
        <v>46</v>
      </c>
      <c r="O10" s="70" t="n">
        <f aca="false">IFERROR(__xludf.dummyfunction("""COMPUTED_VALUE"""),10848)</f>
        <v>10848</v>
      </c>
      <c r="P10" s="70" t="n">
        <f aca="false">IFERROR(__xludf.dummyfunction("""COMPUTED_VALUE"""),10497)</f>
        <v>10497</v>
      </c>
      <c r="Q10" s="70" t="n">
        <f aca="false">IFERROR(__xludf.dummyfunction("""COMPUTED_VALUE"""),137716)</f>
        <v>137716</v>
      </c>
      <c r="R10" s="70" t="n">
        <f aca="false">IFERROR(__xludf.dummyfunction("""COMPUTED_VALUE"""),18894)</f>
        <v>18894</v>
      </c>
      <c r="S10" s="70" t="n">
        <f aca="false">IFERROR(__xludf.dummyfunction("""COMPUTED_VALUE"""),9598)</f>
        <v>9598</v>
      </c>
      <c r="T10" s="70" t="n">
        <f aca="false">IFERROR(__xludf.dummyfunction("""COMPUTED_VALUE"""),11854)</f>
        <v>11854</v>
      </c>
      <c r="U10" s="70" t="n">
        <f aca="false">IFERROR(__xludf.dummyfunction("""COMPUTED_VALUE"""),6951)</f>
        <v>6951</v>
      </c>
      <c r="V10" s="70" t="n">
        <f aca="false">IFERROR(__xludf.dummyfunction("""COMPUTED_VALUE"""),837)</f>
        <v>837</v>
      </c>
      <c r="W10" s="70" t="n">
        <f aca="false">IFERROR(__xludf.dummyfunction("""COMPUTED_VALUE"""),2611)</f>
        <v>2611</v>
      </c>
      <c r="X10" s="70" t="n">
        <f aca="false">IFERROR(__xludf.dummyfunction("""COMPUTED_VALUE"""),1559)</f>
        <v>1559</v>
      </c>
      <c r="Y10" s="70" t="n">
        <f aca="false">IFERROR(__xludf.dummyfunction("""COMPUTED_VALUE"""),43234)</f>
        <v>43234</v>
      </c>
      <c r="Z10" s="70" t="n">
        <f aca="false">IFERROR(__xludf.dummyfunction("""COMPUTED_VALUE"""),92934)</f>
        <v>92934</v>
      </c>
      <c r="AA10" s="70" t="n">
        <f aca="false">IFERROR(__xludf.dummyfunction("""COMPUTED_VALUE"""),14723)</f>
        <v>14723</v>
      </c>
      <c r="AB10" s="70" t="n">
        <f aca="false">IFERROR(__xludf.dummyfunction("""COMPUTED_VALUE"""),12121)</f>
        <v>12121</v>
      </c>
      <c r="AC10" s="70" t="n">
        <f aca="false">IFERROR(__xludf.dummyfunction("""COMPUTED_VALUE"""),12382)</f>
        <v>12382</v>
      </c>
      <c r="AD10" s="70" t="n">
        <f aca="false">IFERROR(__xludf.dummyfunction("""COMPUTED_VALUE"""),1436)</f>
        <v>1436</v>
      </c>
      <c r="AE10" s="70" t="n">
        <f aca="false">IFERROR(__xludf.dummyfunction("""COMPUTED_VALUE"""),1904)</f>
        <v>1904</v>
      </c>
      <c r="AF10" s="70" t="n">
        <f aca="false">IFERROR(__xludf.dummyfunction("""COMPUTED_VALUE"""),706)</f>
        <v>706</v>
      </c>
      <c r="AG10" s="70" t="n">
        <f aca="false">IFERROR(__xludf.dummyfunction("""COMPUTED_VALUE"""),10025)</f>
        <v>10025</v>
      </c>
      <c r="AH10" s="70" t="n">
        <f aca="false">IFERROR(__xludf.dummyfunction("""COMPUTED_VALUE"""),26804)</f>
        <v>26804</v>
      </c>
      <c r="AI10" s="70" t="n">
        <f aca="false">IFERROR(__xludf.dummyfunction("""COMPUTED_VALUE"""),38843)</f>
        <v>38843</v>
      </c>
      <c r="AJ10" s="70" t="n">
        <f aca="false">IFERROR(__xludf.dummyfunction("""COMPUTED_VALUE"""),62235)</f>
        <v>62235</v>
      </c>
      <c r="AK10" s="70" t="n">
        <f aca="false">IFERROR(__xludf.dummyfunction("""COMPUTED_VALUE"""),34992)</f>
        <v>34992</v>
      </c>
      <c r="AL10" s="70" t="n">
        <f aca="false">IFERROR(__xludf.dummyfunction("""COMPUTED_VALUE"""),95084)</f>
        <v>95084</v>
      </c>
      <c r="AM10" s="70" t="n">
        <f aca="false">IFERROR(__xludf.dummyfunction("""COMPUTED_VALUE"""),4064)</f>
        <v>4064</v>
      </c>
      <c r="AN10" s="70" t="n">
        <f aca="false">IFERROR(__xludf.dummyfunction("""COMPUTED_VALUE"""),17707)</f>
        <v>17707</v>
      </c>
      <c r="AO10" s="70" t="n">
        <f aca="false">IFERROR(__xludf.dummyfunction("""COMPUTED_VALUE"""),6987)</f>
        <v>6987</v>
      </c>
      <c r="AP10" s="70" t="n">
        <f aca="false">IFERROR(__xludf.dummyfunction("""COMPUTED_VALUE"""),119)</f>
        <v>119</v>
      </c>
      <c r="AQ10" s="70" t="n">
        <f aca="false">IFERROR(__xludf.dummyfunction("""COMPUTED_VALUE"""),11822)</f>
        <v>11822</v>
      </c>
      <c r="AR10" s="70" t="n">
        <f aca="false">IFERROR(__xludf.dummyfunction("""COMPUTED_VALUE"""),5102)</f>
        <v>5102</v>
      </c>
      <c r="AS10" s="70" t="n">
        <f aca="false">IFERROR(__xludf.dummyfunction("""COMPUTED_VALUE"""),26379)</f>
        <v>26379</v>
      </c>
      <c r="AT10" s="70" t="n">
        <f aca="false">IFERROR(__xludf.dummyfunction("""COMPUTED_VALUE"""),90247)</f>
        <v>90247</v>
      </c>
      <c r="AU10" s="70" t="n">
        <f aca="false">IFERROR(__xludf.dummyfunction("""COMPUTED_VALUE"""),52709)</f>
        <v>52709</v>
      </c>
      <c r="AV10" s="70" t="n">
        <f aca="false">IFERROR(__xludf.dummyfunction("""COMPUTED_VALUE"""),970)</f>
        <v>970</v>
      </c>
      <c r="AW10" s="70" t="n">
        <f aca="false">IFERROR(__xludf.dummyfunction("""COMPUTED_VALUE"""),19512)</f>
        <v>19512</v>
      </c>
      <c r="AX10" s="70" t="n">
        <f aca="false">IFERROR(__xludf.dummyfunction("""COMPUTED_VALUE"""),85891)</f>
        <v>85891</v>
      </c>
      <c r="AY10" s="70" t="n">
        <f aca="false">IFERROR(__xludf.dummyfunction("""COMPUTED_VALUE"""),5081)</f>
        <v>5081</v>
      </c>
      <c r="AZ10" s="70" t="n">
        <f aca="false">IFERROR(__xludf.dummyfunction("""COMPUTED_VALUE"""),13103)</f>
        <v>13103</v>
      </c>
      <c r="BA10" s="70" t="n">
        <f aca="false">IFERROR(__xludf.dummyfunction("""COMPUTED_VALUE"""),1582)</f>
        <v>1582</v>
      </c>
    </row>
    <row r="11" customFormat="false" ht="15.75" hidden="false" customHeight="false" outlineLevel="0" collapsed="false">
      <c r="A11" s="71" t="str">
        <f aca="false">IFERROR(__xludf.dummyfunction("""COMPUTED_VALUE"""),"unit_type")</f>
        <v>unit_type</v>
      </c>
      <c r="B11" s="72" t="n">
        <f aca="false">IFERROR(__xludf.dummyfunction("""COMPUTED_VALUE"""),1027462)</f>
        <v>1027462</v>
      </c>
      <c r="C11" s="73" t="n">
        <f aca="false">IFERROR(__xludf.dummyfunction("""COMPUTED_VALUE"""),17671)</f>
        <v>17671</v>
      </c>
      <c r="D11" s="70" t="n">
        <f aca="false">IFERROR(__xludf.dummyfunction("""COMPUTED_VALUE"""),1600)</f>
        <v>1600</v>
      </c>
      <c r="E11" s="70" t="n">
        <f aca="false">IFERROR(__xludf.dummyfunction("""COMPUTED_VALUE"""),14281)</f>
        <v>14281</v>
      </c>
      <c r="F11" s="70" t="n">
        <f aca="false">IFERROR(__xludf.dummyfunction("""COMPUTED_VALUE"""),20224)</f>
        <v>20224</v>
      </c>
      <c r="G11" s="70" t="n">
        <f aca="false">IFERROR(__xludf.dummyfunction("""COMPUTED_VALUE"""),77514)</f>
        <v>77514</v>
      </c>
      <c r="H11" s="70" t="n">
        <f aca="false">IFERROR(__xludf.dummyfunction("""COMPUTED_VALUE"""),29520)</f>
        <v>29520</v>
      </c>
      <c r="I11" s="70" t="n">
        <f aca="false">IFERROR(__xludf.dummyfunction("""COMPUTED_VALUE"""),11263)</f>
        <v>11263</v>
      </c>
      <c r="J11" s="70" t="n">
        <f aca="false">IFERROR(__xludf.dummyfunction("""COMPUTED_VALUE"""),836)</f>
        <v>836</v>
      </c>
      <c r="K11" s="70" t="n">
        <f aca="false">IFERROR(__xludf.dummyfunction("""COMPUTED_VALUE"""),12053)</f>
        <v>12053</v>
      </c>
      <c r="L11" s="70" t="n">
        <f aca="false">IFERROR(__xludf.dummyfunction("""COMPUTED_VALUE"""),79877)</f>
        <v>79877</v>
      </c>
      <c r="M11" s="70" t="n">
        <f aca="false">IFERROR(__xludf.dummyfunction("""COMPUTED_VALUE"""),19258)</f>
        <v>19258</v>
      </c>
      <c r="N11" s="70" t="n">
        <f aca="false">IFERROR(__xludf.dummyfunction("""COMPUTED_VALUE"""),8919)</f>
        <v>8919</v>
      </c>
      <c r="O11" s="70" t="n">
        <f aca="false">IFERROR(__xludf.dummyfunction("""COMPUTED_VALUE"""),2952)</f>
        <v>2952</v>
      </c>
      <c r="P11" s="70" t="n">
        <f aca="false">IFERROR(__xludf.dummyfunction("""COMPUTED_VALUE"""),33006)</f>
        <v>33006</v>
      </c>
      <c r="Q11" s="70" t="n">
        <f aca="false">IFERROR(__xludf.dummyfunction("""COMPUTED_VALUE"""),39901)</f>
        <v>39901</v>
      </c>
      <c r="R11" s="70" t="n">
        <f aca="false">IFERROR(__xludf.dummyfunction("""COMPUTED_VALUE"""),3806)</f>
        <v>3806</v>
      </c>
      <c r="S11" s="70" t="n">
        <f aca="false">IFERROR(__xludf.dummyfunction("""COMPUTED_VALUE"""),7230)</f>
        <v>7230</v>
      </c>
      <c r="T11" s="70" t="n">
        <f aca="false">IFERROR(__xludf.dummyfunction("""COMPUTED_VALUE"""),7789)</f>
        <v>7789</v>
      </c>
      <c r="U11" s="70" t="n">
        <f aca="false">IFERROR(__xludf.dummyfunction("""COMPUTED_VALUE"""),5947)</f>
        <v>5947</v>
      </c>
      <c r="V11" s="70" t="n">
        <f aca="false">IFERROR(__xludf.dummyfunction("""COMPUTED_VALUE"""),3737)</f>
        <v>3737</v>
      </c>
      <c r="W11" s="70" t="n">
        <f aca="false">IFERROR(__xludf.dummyfunction("""COMPUTED_VALUE"""),6897)</f>
        <v>6897</v>
      </c>
      <c r="X11" s="70" t="n">
        <f aca="false">IFERROR(__xludf.dummyfunction("""COMPUTED_VALUE"""),27536)</f>
        <v>27536</v>
      </c>
      <c r="Y11" s="70" t="n">
        <f aca="false">IFERROR(__xludf.dummyfunction("""COMPUTED_VALUE"""),17044)</f>
        <v>17044</v>
      </c>
      <c r="Z11" s="70" t="n">
        <f aca="false">IFERROR(__xludf.dummyfunction("""COMPUTED_VALUE"""),6705)</f>
        <v>6705</v>
      </c>
      <c r="AA11" s="70" t="n">
        <f aca="false">IFERROR(__xludf.dummyfunction("""COMPUTED_VALUE"""),4169)</f>
        <v>4169</v>
      </c>
      <c r="AB11" s="70" t="n">
        <f aca="false">IFERROR(__xludf.dummyfunction("""COMPUTED_VALUE"""),24526)</f>
        <v>24526</v>
      </c>
      <c r="AC11" s="70" t="n">
        <f aca="false">IFERROR(__xludf.dummyfunction("""COMPUTED_VALUE"""),784)</f>
        <v>784</v>
      </c>
      <c r="AD11" s="70" t="n">
        <f aca="false">IFERROR(__xludf.dummyfunction("""COMPUTED_VALUE"""),3005)</f>
        <v>3005</v>
      </c>
      <c r="AE11" s="70" t="n">
        <f aca="false">IFERROR(__xludf.dummyfunction("""COMPUTED_VALUE"""),6078)</f>
        <v>6078</v>
      </c>
      <c r="AF11" s="70" t="n">
        <f aca="false">IFERROR(__xludf.dummyfunction("""COMPUTED_VALUE"""),7519)</f>
        <v>7519</v>
      </c>
      <c r="AG11" s="70" t="n">
        <f aca="false">IFERROR(__xludf.dummyfunction("""COMPUTED_VALUE"""),19815)</f>
        <v>19815</v>
      </c>
      <c r="AH11" s="70" t="n">
        <f aca="false">IFERROR(__xludf.dummyfunction("""COMPUTED_VALUE"""),4032)</f>
        <v>4032</v>
      </c>
      <c r="AI11" s="70" t="n">
        <f aca="false">IFERROR(__xludf.dummyfunction("""COMPUTED_VALUE"""),72264)</f>
        <v>72264</v>
      </c>
      <c r="AJ11" s="70" t="n">
        <f aca="false">IFERROR(__xludf.dummyfunction("""COMPUTED_VALUE"""),29974)</f>
        <v>29974</v>
      </c>
      <c r="AK11" s="70" t="n">
        <f aca="false">IFERROR(__xludf.dummyfunction("""COMPUTED_VALUE"""),1823)</f>
        <v>1823</v>
      </c>
      <c r="AL11" s="70" t="n">
        <f aca="false">IFERROR(__xludf.dummyfunction("""COMPUTED_VALUE"""),91821)</f>
        <v>91821</v>
      </c>
      <c r="AM11" s="70" t="n">
        <f aca="false">IFERROR(__xludf.dummyfunction("""COMPUTED_VALUE"""),3174)</f>
        <v>3174</v>
      </c>
      <c r="AN11" s="70" t="n">
        <f aca="false">IFERROR(__xludf.dummyfunction("""COMPUTED_VALUE"""),7758)</f>
        <v>7758</v>
      </c>
      <c r="AO11" s="70" t="n">
        <f aca="false">IFERROR(__xludf.dummyfunction("""COMPUTED_VALUE"""),26980)</f>
        <v>26980</v>
      </c>
      <c r="AP11" s="70" t="n">
        <f aca="false">IFERROR(__xludf.dummyfunction("""COMPUTED_VALUE"""),2532)</f>
        <v>2532</v>
      </c>
      <c r="AQ11" s="70" t="n">
        <f aca="false">IFERROR(__xludf.dummyfunction("""COMPUTED_VALUE"""),10690)</f>
        <v>10690</v>
      </c>
      <c r="AR11" s="70" t="n">
        <f aca="false">IFERROR(__xludf.dummyfunction("""COMPUTED_VALUE"""),675)</f>
        <v>675</v>
      </c>
      <c r="AS11" s="70" t="n">
        <f aca="false">IFERROR(__xludf.dummyfunction("""COMPUTED_VALUE"""),8812)</f>
        <v>8812</v>
      </c>
      <c r="AT11" s="70" t="n">
        <f aca="false">IFERROR(__xludf.dummyfunction("""COMPUTED_VALUE"""),179621)</f>
        <v>179621</v>
      </c>
      <c r="AU11" s="70" t="n">
        <f aca="false">IFERROR(__xludf.dummyfunction("""COMPUTED_VALUE"""),11131)</f>
        <v>11131</v>
      </c>
      <c r="AV11" s="70" t="n">
        <f aca="false">IFERROR(__xludf.dummyfunction("""COMPUTED_VALUE"""),1124)</f>
        <v>1124</v>
      </c>
      <c r="AW11" s="70" t="n">
        <f aca="false">IFERROR(__xludf.dummyfunction("""COMPUTED_VALUE"""),16825)</f>
        <v>16825</v>
      </c>
      <c r="AX11" s="70" t="n">
        <f aca="false">IFERROR(__xludf.dummyfunction("""COMPUTED_VALUE"""),10759)</f>
        <v>10759</v>
      </c>
      <c r="AY11" s="70" t="n">
        <f aca="false">IFERROR(__xludf.dummyfunction("""COMPUTED_VALUE"""),11892)</f>
        <v>11892</v>
      </c>
      <c r="AZ11" s="70" t="n">
        <f aca="false">IFERROR(__xludf.dummyfunction("""COMPUTED_VALUE"""),10982)</f>
        <v>10982</v>
      </c>
      <c r="BA11" s="70" t="n">
        <f aca="false">IFERROR(__xludf.dummyfunction("""COMPUTED_VALUE"""),3131)</f>
        <v>3131</v>
      </c>
    </row>
    <row r="12" customFormat="false" ht="15.75" hidden="false" customHeight="false" outlineLevel="0" collapsed="false">
      <c r="A12" s="71" t="str">
        <f aca="false">IFERROR(__xludf.dummyfunction("""COMPUTED_VALUE"""),"unit_number")</f>
        <v>unit_number</v>
      </c>
      <c r="B12" s="72" t="n">
        <f aca="false">IFERROR(__xludf.dummyfunction("""COMPUTED_VALUE"""),1020959)</f>
        <v>1020959</v>
      </c>
      <c r="C12" s="73" t="n">
        <f aca="false">IFERROR(__xludf.dummyfunction("""COMPUTED_VALUE"""),17631)</f>
        <v>17631</v>
      </c>
      <c r="D12" s="70" t="n">
        <f aca="false">IFERROR(__xludf.dummyfunction("""COMPUTED_VALUE"""),1590)</f>
        <v>1590</v>
      </c>
      <c r="E12" s="70" t="n">
        <f aca="false">IFERROR(__xludf.dummyfunction("""COMPUTED_VALUE"""),14265)</f>
        <v>14265</v>
      </c>
      <c r="F12" s="70" t="n">
        <f aca="false">IFERROR(__xludf.dummyfunction("""COMPUTED_VALUE"""),20054)</f>
        <v>20054</v>
      </c>
      <c r="G12" s="70" t="n">
        <f aca="false">IFERROR(__xludf.dummyfunction("""COMPUTED_VALUE"""),77435)</f>
        <v>77435</v>
      </c>
      <c r="H12" s="70" t="n">
        <f aca="false">IFERROR(__xludf.dummyfunction("""COMPUTED_VALUE"""),29508)</f>
        <v>29508</v>
      </c>
      <c r="I12" s="70" t="n">
        <f aca="false">IFERROR(__xludf.dummyfunction("""COMPUTED_VALUE"""),11260)</f>
        <v>11260</v>
      </c>
      <c r="J12" s="70" t="n">
        <f aca="false">IFERROR(__xludf.dummyfunction("""COMPUTED_VALUE"""),831)</f>
        <v>831</v>
      </c>
      <c r="K12" s="70" t="n">
        <f aca="false">IFERROR(__xludf.dummyfunction("""COMPUTED_VALUE"""),12052)</f>
        <v>12052</v>
      </c>
      <c r="L12" s="70" t="n">
        <f aca="false">IFERROR(__xludf.dummyfunction("""COMPUTED_VALUE"""),79829)</f>
        <v>79829</v>
      </c>
      <c r="M12" s="70" t="n">
        <f aca="false">IFERROR(__xludf.dummyfunction("""COMPUTED_VALUE"""),18454)</f>
        <v>18454</v>
      </c>
      <c r="N12" s="70" t="n">
        <f aca="false">IFERROR(__xludf.dummyfunction("""COMPUTED_VALUE"""),8916)</f>
        <v>8916</v>
      </c>
      <c r="O12" s="70" t="n">
        <f aca="false">IFERROR(__xludf.dummyfunction("""COMPUTED_VALUE"""),2949)</f>
        <v>2949</v>
      </c>
      <c r="P12" s="70" t="n">
        <f aca="false">IFERROR(__xludf.dummyfunction("""COMPUTED_VALUE"""),32955)</f>
        <v>32955</v>
      </c>
      <c r="Q12" s="70" t="n">
        <f aca="false">IFERROR(__xludf.dummyfunction("""COMPUTED_VALUE"""),39631)</f>
        <v>39631</v>
      </c>
      <c r="R12" s="70" t="n">
        <f aca="false">IFERROR(__xludf.dummyfunction("""COMPUTED_VALUE"""),3774)</f>
        <v>3774</v>
      </c>
      <c r="S12" s="70" t="n">
        <f aca="false">IFERROR(__xludf.dummyfunction("""COMPUTED_VALUE"""),7200)</f>
        <v>7200</v>
      </c>
      <c r="T12" s="70" t="n">
        <f aca="false">IFERROR(__xludf.dummyfunction("""COMPUTED_VALUE"""),7627)</f>
        <v>7627</v>
      </c>
      <c r="U12" s="70" t="n">
        <f aca="false">IFERROR(__xludf.dummyfunction("""COMPUTED_VALUE"""),5932)</f>
        <v>5932</v>
      </c>
      <c r="V12" s="70" t="n">
        <f aca="false">IFERROR(__xludf.dummyfunction("""COMPUTED_VALUE"""),3737)</f>
        <v>3737</v>
      </c>
      <c r="W12" s="70" t="n">
        <f aca="false">IFERROR(__xludf.dummyfunction("""COMPUTED_VALUE"""),6887)</f>
        <v>6887</v>
      </c>
      <c r="X12" s="70" t="n">
        <f aca="false">IFERROR(__xludf.dummyfunction("""COMPUTED_VALUE"""),27530)</f>
        <v>27530</v>
      </c>
      <c r="Y12" s="70" t="n">
        <f aca="false">IFERROR(__xludf.dummyfunction("""COMPUTED_VALUE"""),17016)</f>
        <v>17016</v>
      </c>
      <c r="Z12" s="70" t="n">
        <f aca="false">IFERROR(__xludf.dummyfunction("""COMPUTED_VALUE"""),6705)</f>
        <v>6705</v>
      </c>
      <c r="AA12" s="70" t="n">
        <f aca="false">IFERROR(__xludf.dummyfunction("""COMPUTED_VALUE"""),4143)</f>
        <v>4143</v>
      </c>
      <c r="AB12" s="70" t="n">
        <f aca="false">IFERROR(__xludf.dummyfunction("""COMPUTED_VALUE"""),24162)</f>
        <v>24162</v>
      </c>
      <c r="AC12" s="70" t="n">
        <f aca="false">IFERROR(__xludf.dummyfunction("""COMPUTED_VALUE"""),784)</f>
        <v>784</v>
      </c>
      <c r="AD12" s="70" t="n">
        <f aca="false">IFERROR(__xludf.dummyfunction("""COMPUTED_VALUE"""),2977)</f>
        <v>2977</v>
      </c>
      <c r="AE12" s="70" t="n">
        <f aca="false">IFERROR(__xludf.dummyfunction("""COMPUTED_VALUE"""),6078)</f>
        <v>6078</v>
      </c>
      <c r="AF12" s="70" t="n">
        <f aca="false">IFERROR(__xludf.dummyfunction("""COMPUTED_VALUE"""),7518)</f>
        <v>7518</v>
      </c>
      <c r="AG12" s="70" t="n">
        <f aca="false">IFERROR(__xludf.dummyfunction("""COMPUTED_VALUE"""),19745)</f>
        <v>19745</v>
      </c>
      <c r="AH12" s="70" t="n">
        <f aca="false">IFERROR(__xludf.dummyfunction("""COMPUTED_VALUE"""),4031)</f>
        <v>4031</v>
      </c>
      <c r="AI12" s="70" t="n">
        <f aca="false">IFERROR(__xludf.dummyfunction("""COMPUTED_VALUE"""),72145)</f>
        <v>72145</v>
      </c>
      <c r="AJ12" s="70" t="n">
        <f aca="false">IFERROR(__xludf.dummyfunction("""COMPUTED_VALUE"""),29772)</f>
        <v>29772</v>
      </c>
      <c r="AK12" s="70" t="n">
        <f aca="false">IFERROR(__xludf.dummyfunction("""COMPUTED_VALUE"""),1823)</f>
        <v>1823</v>
      </c>
      <c r="AL12" s="70" t="n">
        <f aca="false">IFERROR(__xludf.dummyfunction("""COMPUTED_VALUE"""),89944)</f>
        <v>89944</v>
      </c>
      <c r="AM12" s="70" t="n">
        <f aca="false">IFERROR(__xludf.dummyfunction("""COMPUTED_VALUE"""),3164)</f>
        <v>3164</v>
      </c>
      <c r="AN12" s="70" t="n">
        <f aca="false">IFERROR(__xludf.dummyfunction("""COMPUTED_VALUE"""),7757)</f>
        <v>7757</v>
      </c>
      <c r="AO12" s="70" t="n">
        <f aca="false">IFERROR(__xludf.dummyfunction("""COMPUTED_VALUE"""),26848)</f>
        <v>26848</v>
      </c>
      <c r="AP12" s="70" t="n">
        <f aca="false">IFERROR(__xludf.dummyfunction("""COMPUTED_VALUE"""),2532)</f>
        <v>2532</v>
      </c>
      <c r="AQ12" s="70" t="n">
        <f aca="false">IFERROR(__xludf.dummyfunction("""COMPUTED_VALUE"""),10639)</f>
        <v>10639</v>
      </c>
      <c r="AR12" s="70" t="n">
        <f aca="false">IFERROR(__xludf.dummyfunction("""COMPUTED_VALUE"""),675)</f>
        <v>675</v>
      </c>
      <c r="AS12" s="70" t="n">
        <f aca="false">IFERROR(__xludf.dummyfunction("""COMPUTED_VALUE"""),8801)</f>
        <v>8801</v>
      </c>
      <c r="AT12" s="70" t="n">
        <f aca="false">IFERROR(__xludf.dummyfunction("""COMPUTED_VALUE"""),178237)</f>
        <v>178237</v>
      </c>
      <c r="AU12" s="70" t="n">
        <f aca="false">IFERROR(__xludf.dummyfunction("""COMPUTED_VALUE"""),11034)</f>
        <v>11034</v>
      </c>
      <c r="AV12" s="70" t="n">
        <f aca="false">IFERROR(__xludf.dummyfunction("""COMPUTED_VALUE"""),1117)</f>
        <v>1117</v>
      </c>
      <c r="AW12" s="70" t="n">
        <f aca="false">IFERROR(__xludf.dummyfunction("""COMPUTED_VALUE"""),16817)</f>
        <v>16817</v>
      </c>
      <c r="AX12" s="70" t="n">
        <f aca="false">IFERROR(__xludf.dummyfunction("""COMPUTED_VALUE"""),10710)</f>
        <v>10710</v>
      </c>
      <c r="AY12" s="70" t="n">
        <f aca="false">IFERROR(__xludf.dummyfunction("""COMPUTED_VALUE"""),11644)</f>
        <v>11644</v>
      </c>
      <c r="AZ12" s="70" t="n">
        <f aca="false">IFERROR(__xludf.dummyfunction("""COMPUTED_VALUE"""),10965)</f>
        <v>10965</v>
      </c>
      <c r="BA12" s="70" t="n">
        <f aca="false">IFERROR(__xludf.dummyfunction("""COMPUTED_VALUE"""),3129)</f>
        <v>3129</v>
      </c>
    </row>
    <row r="13" customFormat="false" ht="15.75" hidden="false" customHeight="false" outlineLevel="0" collapsed="false">
      <c r="A13" s="71" t="str">
        <f aca="false">IFERROR(__xludf.dummyfunction("""COMPUTED_VALUE"""),"formatted_street_address")</f>
        <v>formatted_street_address</v>
      </c>
      <c r="B13" s="72" t="n">
        <f aca="false">IFERROR(__xludf.dummyfunction("""COMPUTED_VALUE"""),23672523)</f>
        <v>23672523</v>
      </c>
      <c r="C13" s="73" t="n">
        <f aca="false">IFERROR(__xludf.dummyfunction("""COMPUTED_VALUE"""),472978)</f>
        <v>472978</v>
      </c>
      <c r="D13" s="70" t="n">
        <f aca="false">IFERROR(__xludf.dummyfunction("""COMPUTED_VALUE"""),57354)</f>
        <v>57354</v>
      </c>
      <c r="E13" s="70" t="n">
        <f aca="false">IFERROR(__xludf.dummyfunction("""COMPUTED_VALUE"""),413087)</f>
        <v>413087</v>
      </c>
      <c r="F13" s="70" t="n">
        <f aca="false">IFERROR(__xludf.dummyfunction("""COMPUTED_VALUE"""),528140)</f>
        <v>528140</v>
      </c>
      <c r="G13" s="70" t="n">
        <f aca="false">IFERROR(__xludf.dummyfunction("""COMPUTED_VALUE"""),1273981)</f>
        <v>1273981</v>
      </c>
      <c r="H13" s="70" t="n">
        <f aca="false">IFERROR(__xludf.dummyfunction("""COMPUTED_VALUE"""),322506)</f>
        <v>322506</v>
      </c>
      <c r="I13" s="70" t="n">
        <f aca="false">IFERROR(__xludf.dummyfunction("""COMPUTED_VALUE"""),182064)</f>
        <v>182064</v>
      </c>
      <c r="J13" s="70" t="n">
        <f aca="false">IFERROR(__xludf.dummyfunction("""COMPUTED_VALUE"""),61248)</f>
        <v>61248</v>
      </c>
      <c r="K13" s="70" t="n">
        <f aca="false">IFERROR(__xludf.dummyfunction("""COMPUTED_VALUE"""),37623)</f>
        <v>37623</v>
      </c>
      <c r="L13" s="70" t="n">
        <f aca="false">IFERROR(__xludf.dummyfunction("""COMPUTED_VALUE"""),1638529)</f>
        <v>1638529</v>
      </c>
      <c r="M13" s="70" t="n">
        <f aca="false">IFERROR(__xludf.dummyfunction("""COMPUTED_VALUE"""),568858)</f>
        <v>568858</v>
      </c>
      <c r="N13" s="70" t="n">
        <f aca="false">IFERROR(__xludf.dummyfunction("""COMPUTED_VALUE"""),85331)</f>
        <v>85331</v>
      </c>
      <c r="O13" s="70" t="n">
        <f aca="false">IFERROR(__xludf.dummyfunction("""COMPUTED_VALUE"""),83049)</f>
        <v>83049</v>
      </c>
      <c r="P13" s="70" t="n">
        <f aca="false">IFERROR(__xludf.dummyfunction("""COMPUTED_VALUE"""),876928)</f>
        <v>876928</v>
      </c>
      <c r="Q13" s="70" t="n">
        <f aca="false">IFERROR(__xludf.dummyfunction("""COMPUTED_VALUE"""),918714)</f>
        <v>918714</v>
      </c>
      <c r="R13" s="70" t="n">
        <f aca="false">IFERROR(__xludf.dummyfunction("""COMPUTED_VALUE"""),204334)</f>
        <v>204334</v>
      </c>
      <c r="S13" s="70" t="n">
        <f aca="false">IFERROR(__xludf.dummyfunction("""COMPUTED_VALUE"""),489960)</f>
        <v>489960</v>
      </c>
      <c r="T13" s="70" t="n">
        <f aca="false">IFERROR(__xludf.dummyfunction("""COMPUTED_VALUE"""),355319)</f>
        <v>355319</v>
      </c>
      <c r="U13" s="70" t="n">
        <f aca="false">IFERROR(__xludf.dummyfunction("""COMPUTED_VALUE"""),325541)</f>
        <v>325541</v>
      </c>
      <c r="V13" s="70" t="n">
        <f aca="false">IFERROR(__xludf.dummyfunction("""COMPUTED_VALUE"""),122875)</f>
        <v>122875</v>
      </c>
      <c r="W13" s="70" t="n">
        <f aca="false">IFERROR(__xludf.dummyfunction("""COMPUTED_VALUE"""),263921)</f>
        <v>263921</v>
      </c>
      <c r="X13" s="70" t="n">
        <f aca="false">IFERROR(__xludf.dummyfunction("""COMPUTED_VALUE"""),381000)</f>
        <v>381000</v>
      </c>
      <c r="Y13" s="70" t="n">
        <f aca="false">IFERROR(__xludf.dummyfunction("""COMPUTED_VALUE"""),727606)</f>
        <v>727606</v>
      </c>
      <c r="Z13" s="70" t="n">
        <f aca="false">IFERROR(__xludf.dummyfunction("""COMPUTED_VALUE"""),250683)</f>
        <v>250683</v>
      </c>
      <c r="AA13" s="70" t="n">
        <f aca="false">IFERROR(__xludf.dummyfunction("""COMPUTED_VALUE"""),258661)</f>
        <v>258661</v>
      </c>
      <c r="AB13" s="70" t="n">
        <f aca="false">IFERROR(__xludf.dummyfunction("""COMPUTED_VALUE"""),457045)</f>
        <v>457045</v>
      </c>
      <c r="AC13" s="70" t="n">
        <f aca="false">IFERROR(__xludf.dummyfunction("""COMPUTED_VALUE"""),97950)</f>
        <v>97950</v>
      </c>
      <c r="AD13" s="70" t="n">
        <f aca="false">IFERROR(__xludf.dummyfunction("""COMPUTED_VALUE"""),101201)</f>
        <v>101201</v>
      </c>
      <c r="AE13" s="70" t="n">
        <f aca="false">IFERROR(__xludf.dummyfunction("""COMPUTED_VALUE"""),136171)</f>
        <v>136171</v>
      </c>
      <c r="AF13" s="70" t="n">
        <f aca="false">IFERROR(__xludf.dummyfunction("""COMPUTED_VALUE"""),125354)</f>
        <v>125354</v>
      </c>
      <c r="AG13" s="70" t="n">
        <f aca="false">IFERROR(__xludf.dummyfunction("""COMPUTED_VALUE"""),516008)</f>
        <v>516008</v>
      </c>
      <c r="AH13" s="70" t="n">
        <f aca="false">IFERROR(__xludf.dummyfunction("""COMPUTED_VALUE"""),134374)</f>
        <v>134374</v>
      </c>
      <c r="AI13" s="70" t="n">
        <f aca="false">IFERROR(__xludf.dummyfunction("""COMPUTED_VALUE"""),1242199)</f>
        <v>1242199</v>
      </c>
      <c r="AJ13" s="70" t="n">
        <f aca="false">IFERROR(__xludf.dummyfunction("""COMPUTED_VALUE"""),1011779)</f>
        <v>1011779</v>
      </c>
      <c r="AK13" s="70" t="n">
        <f aca="false">IFERROR(__xludf.dummyfunction("""COMPUTED_VALUE"""),67998)</f>
        <v>67998</v>
      </c>
      <c r="AL13" s="70" t="n">
        <f aca="false">IFERROR(__xludf.dummyfunction("""COMPUTED_VALUE"""),1723963)</f>
        <v>1723963</v>
      </c>
      <c r="AM13" s="70" t="n">
        <f aca="false">IFERROR(__xludf.dummyfunction("""COMPUTED_VALUE"""),165856)</f>
        <v>165856</v>
      </c>
      <c r="AN13" s="70" t="n">
        <f aca="false">IFERROR(__xludf.dummyfunction("""COMPUTED_VALUE"""),205271)</f>
        <v>205271</v>
      </c>
      <c r="AO13" s="70" t="n">
        <f aca="false">IFERROR(__xludf.dummyfunction("""COMPUTED_VALUE"""),1088042)</f>
        <v>1088042</v>
      </c>
      <c r="AP13" s="70" t="n">
        <f aca="false">IFERROR(__xludf.dummyfunction("""COMPUTED_VALUE"""),79678)</f>
        <v>79678</v>
      </c>
      <c r="AQ13" s="70" t="n">
        <f aca="false">IFERROR(__xludf.dummyfunction("""COMPUTED_VALUE"""),460223)</f>
        <v>460223</v>
      </c>
      <c r="AR13" s="70" t="n">
        <f aca="false">IFERROR(__xludf.dummyfunction("""COMPUTED_VALUE"""),58434)</f>
        <v>58434</v>
      </c>
      <c r="AS13" s="70" t="n">
        <f aca="false">IFERROR(__xludf.dummyfunction("""COMPUTED_VALUE"""),479026)</f>
        <v>479026</v>
      </c>
      <c r="AT13" s="70" t="n">
        <f aca="false">IFERROR(__xludf.dummyfunction("""COMPUTED_VALUE"""),2719911)</f>
        <v>2719911</v>
      </c>
      <c r="AU13" s="70" t="n">
        <f aca="false">IFERROR(__xludf.dummyfunction("""COMPUTED_VALUE"""),134112)</f>
        <v>134112</v>
      </c>
      <c r="AV13" s="70" t="n">
        <f aca="false">IFERROR(__xludf.dummyfunction("""COMPUTED_VALUE"""),29080)</f>
        <v>29080</v>
      </c>
      <c r="AW13" s="70" t="n">
        <f aca="false">IFERROR(__xludf.dummyfunction("""COMPUTED_VALUE"""),376145)</f>
        <v>376145</v>
      </c>
      <c r="AX13" s="70" t="n">
        <f aca="false">IFERROR(__xludf.dummyfunction("""COMPUTED_VALUE"""),335499)</f>
        <v>335499</v>
      </c>
      <c r="AY13" s="70" t="n">
        <f aca="false">IFERROR(__xludf.dummyfunction("""COMPUTED_VALUE"""),602610)</f>
        <v>602610</v>
      </c>
      <c r="AZ13" s="70" t="n">
        <f aca="false">IFERROR(__xludf.dummyfunction("""COMPUTED_VALUE"""),357454)</f>
        <v>357454</v>
      </c>
      <c r="BA13" s="70" t="n">
        <f aca="false">IFERROR(__xludf.dummyfunction("""COMPUTED_VALUE"""),66850)</f>
        <v>66850</v>
      </c>
    </row>
    <row r="14" customFormat="false" ht="15.75" hidden="false" customHeight="false" outlineLevel="0" collapsed="false">
      <c r="A14" s="71" t="str">
        <f aca="false">IFERROR(__xludf.dummyfunction("""COMPUTED_VALUE"""),"city")</f>
        <v>city</v>
      </c>
      <c r="B14" s="72" t="n">
        <f aca="false">IFERROR(__xludf.dummyfunction("""COMPUTED_VALUE"""),23590785)</f>
        <v>23590785</v>
      </c>
      <c r="C14" s="73" t="n">
        <f aca="false">IFERROR(__xludf.dummyfunction("""COMPUTED_VALUE"""),459597)</f>
        <v>459597</v>
      </c>
      <c r="D14" s="70" t="n">
        <f aca="false">IFERROR(__xludf.dummyfunction("""COMPUTED_VALUE"""),46675)</f>
        <v>46675</v>
      </c>
      <c r="E14" s="70" t="n">
        <f aca="false">IFERROR(__xludf.dummyfunction("""COMPUTED_VALUE"""),426037)</f>
        <v>426037</v>
      </c>
      <c r="F14" s="70" t="n">
        <f aca="false">IFERROR(__xludf.dummyfunction("""COMPUTED_VALUE"""),513768)</f>
        <v>513768</v>
      </c>
      <c r="G14" s="70" t="n">
        <f aca="false">IFERROR(__xludf.dummyfunction("""COMPUTED_VALUE"""),1348967)</f>
        <v>1348967</v>
      </c>
      <c r="H14" s="70" t="n">
        <f aca="false">IFERROR(__xludf.dummyfunction("""COMPUTED_VALUE"""),373453)</f>
        <v>373453</v>
      </c>
      <c r="I14" s="70" t="n">
        <f aca="false">IFERROR(__xludf.dummyfunction("""COMPUTED_VALUE"""),182378)</f>
        <v>182378</v>
      </c>
      <c r="J14" s="70" t="n">
        <f aca="false">IFERROR(__xludf.dummyfunction("""COMPUTED_VALUE"""),75465)</f>
        <v>75465</v>
      </c>
      <c r="K14" s="70" t="n">
        <f aca="false">IFERROR(__xludf.dummyfunction("""COMPUTED_VALUE"""),37808)</f>
        <v>37808</v>
      </c>
      <c r="L14" s="70" t="n">
        <f aca="false">IFERROR(__xludf.dummyfunction("""COMPUTED_VALUE"""),1872290)</f>
        <v>1872290</v>
      </c>
      <c r="M14" s="70" t="n">
        <f aca="false">IFERROR(__xludf.dummyfunction("""COMPUTED_VALUE"""),557530)</f>
        <v>557530</v>
      </c>
      <c r="N14" s="70" t="n">
        <f aca="false">IFERROR(__xludf.dummyfunction("""COMPUTED_VALUE"""),69460)</f>
        <v>69460</v>
      </c>
      <c r="O14" s="70" t="n">
        <f aca="false">IFERROR(__xludf.dummyfunction("""COMPUTED_VALUE"""),88537)</f>
        <v>88537</v>
      </c>
      <c r="P14" s="70" t="n">
        <f aca="false">IFERROR(__xludf.dummyfunction("""COMPUTED_VALUE"""),968042)</f>
        <v>968042</v>
      </c>
      <c r="Q14" s="70" t="n">
        <f aca="false">IFERROR(__xludf.dummyfunction("""COMPUTED_VALUE"""),947229)</f>
        <v>947229</v>
      </c>
      <c r="R14" s="70" t="n">
        <f aca="false">IFERROR(__xludf.dummyfunction("""COMPUTED_VALUE"""),310367)</f>
        <v>310367</v>
      </c>
      <c r="S14" s="70" t="n">
        <f aca="false">IFERROR(__xludf.dummyfunction("""COMPUTED_VALUE"""),516560)</f>
        <v>516560</v>
      </c>
      <c r="T14" s="70" t="n">
        <f aca="false">IFERROR(__xludf.dummyfunction("""COMPUTED_VALUE"""),327610)</f>
        <v>327610</v>
      </c>
      <c r="U14" s="70" t="n">
        <f aca="false">IFERROR(__xludf.dummyfunction("""COMPUTED_VALUE"""),312030)</f>
        <v>312030</v>
      </c>
      <c r="V14" s="70" t="n">
        <f aca="false">IFERROR(__xludf.dummyfunction("""COMPUTED_VALUE"""),130604)</f>
        <v>130604</v>
      </c>
      <c r="W14" s="70" t="n">
        <f aca="false">IFERROR(__xludf.dummyfunction("""COMPUTED_VALUE"""),265292)</f>
        <v>265292</v>
      </c>
      <c r="X14" s="70" t="n">
        <f aca="false">IFERROR(__xludf.dummyfunction("""COMPUTED_VALUE"""),381003)</f>
        <v>381003</v>
      </c>
      <c r="Y14" s="70" t="n">
        <f aca="false">IFERROR(__xludf.dummyfunction("""COMPUTED_VALUE"""),774633)</f>
        <v>774633</v>
      </c>
      <c r="Z14" s="70" t="n">
        <f aca="false">IFERROR(__xludf.dummyfunction("""COMPUTED_VALUE"""),300463)</f>
        <v>300463</v>
      </c>
      <c r="AA14" s="70" t="n">
        <f aca="false">IFERROR(__xludf.dummyfunction("""COMPUTED_VALUE"""),241422)</f>
        <v>241422</v>
      </c>
      <c r="AB14" s="70" t="n">
        <f aca="false">IFERROR(__xludf.dummyfunction("""COMPUTED_VALUE"""),436622)</f>
        <v>436622</v>
      </c>
      <c r="AC14" s="70" t="n">
        <f aca="false">IFERROR(__xludf.dummyfunction("""COMPUTED_VALUE"""),94438)</f>
        <v>94438</v>
      </c>
      <c r="AD14" s="70" t="n">
        <f aca="false">IFERROR(__xludf.dummyfunction("""COMPUTED_VALUE"""),95560)</f>
        <v>95560</v>
      </c>
      <c r="AE14" s="70" t="n">
        <f aca="false">IFERROR(__xludf.dummyfunction("""COMPUTED_VALUE"""),166820)</f>
        <v>166820</v>
      </c>
      <c r="AF14" s="70" t="n">
        <f aca="false">IFERROR(__xludf.dummyfunction("""COMPUTED_VALUE"""),128059)</f>
        <v>128059</v>
      </c>
      <c r="AG14" s="70" t="n">
        <f aca="false">IFERROR(__xludf.dummyfunction("""COMPUTED_VALUE"""),442336)</f>
        <v>442336</v>
      </c>
      <c r="AH14" s="70" t="n">
        <f aca="false">IFERROR(__xludf.dummyfunction("""COMPUTED_VALUE"""),159524)</f>
        <v>159524</v>
      </c>
      <c r="AI14" s="70" t="n">
        <f aca="false">IFERROR(__xludf.dummyfunction("""COMPUTED_VALUE"""),1246916)</f>
        <v>1246916</v>
      </c>
      <c r="AJ14" s="70" t="n">
        <f aca="false">IFERROR(__xludf.dummyfunction("""COMPUTED_VALUE"""),917043)</f>
        <v>917043</v>
      </c>
      <c r="AK14" s="70" t="n">
        <f aca="false">IFERROR(__xludf.dummyfunction("""COMPUTED_VALUE"""),89851)</f>
        <v>89851</v>
      </c>
      <c r="AL14" s="70" t="n">
        <f aca="false">IFERROR(__xludf.dummyfunction("""COMPUTED_VALUE"""),1620168)</f>
        <v>1620168</v>
      </c>
      <c r="AM14" s="70" t="n">
        <f aca="false">IFERROR(__xludf.dummyfunction("""COMPUTED_VALUE"""),208739)</f>
        <v>208739</v>
      </c>
      <c r="AN14" s="70" t="n">
        <f aca="false">IFERROR(__xludf.dummyfunction("""COMPUTED_VALUE"""),219787)</f>
        <v>219787</v>
      </c>
      <c r="AO14" s="70" t="n">
        <f aca="false">IFERROR(__xludf.dummyfunction("""COMPUTED_VALUE"""),1007612)</f>
        <v>1007612</v>
      </c>
      <c r="AP14" s="70" t="n">
        <f aca="false">IFERROR(__xludf.dummyfunction("""COMPUTED_VALUE"""),79678)</f>
        <v>79678</v>
      </c>
      <c r="AQ14" s="70" t="n">
        <f aca="false">IFERROR(__xludf.dummyfunction("""COMPUTED_VALUE"""),449305)</f>
        <v>449305</v>
      </c>
      <c r="AR14" s="70" t="n">
        <f aca="false">IFERROR(__xludf.dummyfunction("""COMPUTED_VALUE"""),63069)</f>
        <v>63069</v>
      </c>
      <c r="AS14" s="70" t="n">
        <f aca="false">IFERROR(__xludf.dummyfunction("""COMPUTED_VALUE"""),441957)</f>
        <v>441957</v>
      </c>
      <c r="AT14" s="70" t="n">
        <f aca="false">IFERROR(__xludf.dummyfunction("""COMPUTED_VALUE"""),2484862)</f>
        <v>2484862</v>
      </c>
      <c r="AU14" s="70" t="n">
        <f aca="false">IFERROR(__xludf.dummyfunction("""COMPUTED_VALUE"""),135101)</f>
        <v>135101</v>
      </c>
      <c r="AV14" s="70" t="n">
        <f aca="false">IFERROR(__xludf.dummyfunction("""COMPUTED_VALUE"""),27408)</f>
        <v>27408</v>
      </c>
      <c r="AW14" s="70" t="n">
        <f aca="false">IFERROR(__xludf.dummyfunction("""COMPUTED_VALUE"""),370507)</f>
        <v>370507</v>
      </c>
      <c r="AX14" s="70" t="n">
        <f aca="false">IFERROR(__xludf.dummyfunction("""COMPUTED_VALUE"""),384411)</f>
        <v>384411</v>
      </c>
      <c r="AY14" s="70" t="n">
        <f aca="false">IFERROR(__xludf.dummyfunction("""COMPUTED_VALUE"""),355183)</f>
        <v>355183</v>
      </c>
      <c r="AZ14" s="70" t="n">
        <f aca="false">IFERROR(__xludf.dummyfunction("""COMPUTED_VALUE"""),379909)</f>
        <v>379909</v>
      </c>
      <c r="BA14" s="70" t="n">
        <f aca="false">IFERROR(__xludf.dummyfunction("""COMPUTED_VALUE"""),58700)</f>
        <v>58700</v>
      </c>
    </row>
    <row r="15" customFormat="false" ht="15.75" hidden="false" customHeight="false" outlineLevel="0" collapsed="false">
      <c r="A15" s="71" t="str">
        <f aca="false">IFERROR(__xludf.dummyfunction("""COMPUTED_VALUE"""),"state")</f>
        <v>state</v>
      </c>
      <c r="B15" s="72" t="n">
        <f aca="false">IFERROR(__xludf.dummyfunction("""COMPUTED_VALUE"""),36682573)</f>
        <v>36682573</v>
      </c>
      <c r="C15" s="73" t="n">
        <f aca="false">IFERROR(__xludf.dummyfunction("""COMPUTED_VALUE"""),820653)</f>
        <v>820653</v>
      </c>
      <c r="D15" s="70" t="n">
        <f aca="false">IFERROR(__xludf.dummyfunction("""COMPUTED_VALUE"""),174092)</f>
        <v>174092</v>
      </c>
      <c r="E15" s="70" t="n">
        <f aca="false">IFERROR(__xludf.dummyfunction("""COMPUTED_VALUE"""),861527)</f>
        <v>861527</v>
      </c>
      <c r="F15" s="70" t="n">
        <f aca="false">IFERROR(__xludf.dummyfunction("""COMPUTED_VALUE"""),979079)</f>
        <v>979079</v>
      </c>
      <c r="G15" s="70" t="n">
        <f aca="false">IFERROR(__xludf.dummyfunction("""COMPUTED_VALUE"""),2299041)</f>
        <v>2299041</v>
      </c>
      <c r="H15" s="70" t="n">
        <f aca="false">IFERROR(__xludf.dummyfunction("""COMPUTED_VALUE"""),634643)</f>
        <v>634643</v>
      </c>
      <c r="I15" s="70" t="n">
        <f aca="false">IFERROR(__xludf.dummyfunction("""COMPUTED_VALUE"""),182378)</f>
        <v>182378</v>
      </c>
      <c r="J15" s="70" t="n">
        <f aca="false">IFERROR(__xludf.dummyfunction("""COMPUTED_VALUE"""),78259)</f>
        <v>78259</v>
      </c>
      <c r="K15" s="70" t="n">
        <f aca="false">IFERROR(__xludf.dummyfunction("""COMPUTED_VALUE"""),37808)</f>
        <v>37808</v>
      </c>
      <c r="L15" s="70" t="n">
        <f aca="false">IFERROR(__xludf.dummyfunction("""COMPUTED_VALUE"""),2202410)</f>
        <v>2202410</v>
      </c>
      <c r="M15" s="70" t="n">
        <f aca="false">IFERROR(__xludf.dummyfunction("""COMPUTED_VALUE"""),654323)</f>
        <v>654323</v>
      </c>
      <c r="N15" s="70" t="n">
        <f aca="false">IFERROR(__xludf.dummyfunction("""COMPUTED_VALUE"""),122780)</f>
        <v>122780</v>
      </c>
      <c r="O15" s="70" t="n">
        <f aca="false">IFERROR(__xludf.dummyfunction("""COMPUTED_VALUE"""),241326)</f>
        <v>241326</v>
      </c>
      <c r="P15" s="70" t="n">
        <f aca="false">IFERROR(__xludf.dummyfunction("""COMPUTED_VALUE"""),1450322)</f>
        <v>1450322</v>
      </c>
      <c r="Q15" s="70" t="n">
        <f aca="false">IFERROR(__xludf.dummyfunction("""COMPUTED_VALUE"""),974792)</f>
        <v>974792</v>
      </c>
      <c r="R15" s="70" t="n">
        <f aca="false">IFERROR(__xludf.dummyfunction("""COMPUTED_VALUE"""),1057394)</f>
        <v>1057394</v>
      </c>
      <c r="S15" s="70" t="n">
        <f aca="false">IFERROR(__xludf.dummyfunction("""COMPUTED_VALUE"""),552322)</f>
        <v>552322</v>
      </c>
      <c r="T15" s="70" t="n">
        <f aca="false">IFERROR(__xludf.dummyfunction("""COMPUTED_VALUE"""),389342)</f>
        <v>389342</v>
      </c>
      <c r="U15" s="70" t="n">
        <f aca="false">IFERROR(__xludf.dummyfunction("""COMPUTED_VALUE"""),737673)</f>
        <v>737673</v>
      </c>
      <c r="V15" s="70" t="n">
        <f aca="false">IFERROR(__xludf.dummyfunction("""COMPUTED_VALUE"""),133130)</f>
        <v>133130</v>
      </c>
      <c r="W15" s="70" t="n">
        <f aca="false">IFERROR(__xludf.dummyfunction("""COMPUTED_VALUE"""),276303)</f>
        <v>276303</v>
      </c>
      <c r="X15" s="70" t="n">
        <f aca="false">IFERROR(__xludf.dummyfunction("""COMPUTED_VALUE"""),381012)</f>
        <v>381012</v>
      </c>
      <c r="Y15" s="70" t="n">
        <f aca="false">IFERROR(__xludf.dummyfunction("""COMPUTED_VALUE"""),900208)</f>
        <v>900208</v>
      </c>
      <c r="Z15" s="70" t="n">
        <f aca="false">IFERROR(__xludf.dummyfunction("""COMPUTED_VALUE"""),871819)</f>
        <v>871819</v>
      </c>
      <c r="AA15" s="70" t="n">
        <f aca="false">IFERROR(__xludf.dummyfunction("""COMPUTED_VALUE"""),556989)</f>
        <v>556989</v>
      </c>
      <c r="AB15" s="70" t="n">
        <f aca="false">IFERROR(__xludf.dummyfunction("""COMPUTED_VALUE"""),703354)</f>
        <v>703354</v>
      </c>
      <c r="AC15" s="70" t="n">
        <f aca="false">IFERROR(__xludf.dummyfunction("""COMPUTED_VALUE"""),441549)</f>
        <v>441549</v>
      </c>
      <c r="AD15" s="70" t="n">
        <f aca="false">IFERROR(__xludf.dummyfunction("""COMPUTED_VALUE"""),411376)</f>
        <v>411376</v>
      </c>
      <c r="AE15" s="70" t="n">
        <f aca="false">IFERROR(__xludf.dummyfunction("""COMPUTED_VALUE"""),229040)</f>
        <v>229040</v>
      </c>
      <c r="AF15" s="70" t="n">
        <f aca="false">IFERROR(__xludf.dummyfunction("""COMPUTED_VALUE"""),128060)</f>
        <v>128060</v>
      </c>
      <c r="AG15" s="70" t="n">
        <f aca="false">IFERROR(__xludf.dummyfunction("""COMPUTED_VALUE"""),516774)</f>
        <v>516774</v>
      </c>
      <c r="AH15" s="70" t="n">
        <f aca="false">IFERROR(__xludf.dummyfunction("""COMPUTED_VALUE"""),612828)</f>
        <v>612828</v>
      </c>
      <c r="AI15" s="70" t="n">
        <f aca="false">IFERROR(__xludf.dummyfunction("""COMPUTED_VALUE"""),1261183)</f>
        <v>1261183</v>
      </c>
      <c r="AJ15" s="70" t="n">
        <f aca="false">IFERROR(__xludf.dummyfunction("""COMPUTED_VALUE"""),1155933)</f>
        <v>1155933</v>
      </c>
      <c r="AK15" s="70" t="n">
        <f aca="false">IFERROR(__xludf.dummyfunction("""COMPUTED_VALUE"""),459504)</f>
        <v>459504</v>
      </c>
      <c r="AL15" s="70" t="n">
        <f aca="false">IFERROR(__xludf.dummyfunction("""COMPUTED_VALUE"""),1812793)</f>
        <v>1812793</v>
      </c>
      <c r="AM15" s="70" t="n">
        <f aca="false">IFERROR(__xludf.dummyfunction("""COMPUTED_VALUE"""),602771)</f>
        <v>602771</v>
      </c>
      <c r="AN15" s="70" t="n">
        <f aca="false">IFERROR(__xludf.dummyfunction("""COMPUTED_VALUE"""),491384)</f>
        <v>491384</v>
      </c>
      <c r="AO15" s="70" t="n">
        <f aca="false">IFERROR(__xludf.dummyfunction("""COMPUTED_VALUE"""),1255618)</f>
        <v>1255618</v>
      </c>
      <c r="AP15" s="70" t="n">
        <f aca="false">IFERROR(__xludf.dummyfunction("""COMPUTED_VALUE"""),79678)</f>
        <v>79678</v>
      </c>
      <c r="AQ15" s="70" t="n">
        <f aca="false">IFERROR(__xludf.dummyfunction("""COMPUTED_VALUE"""),628145)</f>
        <v>628145</v>
      </c>
      <c r="AR15" s="70" t="n">
        <f aca="false">IFERROR(__xludf.dummyfunction("""COMPUTED_VALUE"""),358147)</f>
        <v>358147</v>
      </c>
      <c r="AS15" s="70" t="n">
        <f aca="false">IFERROR(__xludf.dummyfunction("""COMPUTED_VALUE"""),483209)</f>
        <v>483209</v>
      </c>
      <c r="AT15" s="70" t="n">
        <f aca="false">IFERROR(__xludf.dummyfunction("""COMPUTED_VALUE"""),3881842)</f>
        <v>3881842</v>
      </c>
      <c r="AU15" s="70" t="n">
        <f aca="false">IFERROR(__xludf.dummyfunction("""COMPUTED_VALUE"""),357726)</f>
        <v>357726</v>
      </c>
      <c r="AV15" s="70" t="n">
        <f aca="false">IFERROR(__xludf.dummyfunction("""COMPUTED_VALUE"""),34759)</f>
        <v>34759</v>
      </c>
      <c r="AW15" s="70" t="n">
        <f aca="false">IFERROR(__xludf.dummyfunction("""COMPUTED_VALUE"""),607748)</f>
        <v>607748</v>
      </c>
      <c r="AX15" s="70" t="n">
        <f aca="false">IFERROR(__xludf.dummyfunction("""COMPUTED_VALUE"""),704022)</f>
        <v>704022</v>
      </c>
      <c r="AY15" s="70" t="n">
        <f aca="false">IFERROR(__xludf.dummyfunction("""COMPUTED_VALUE"""),668634)</f>
        <v>668634</v>
      </c>
      <c r="AZ15" s="70" t="n">
        <f aca="false">IFERROR(__xludf.dummyfunction("""COMPUTED_VALUE"""),1125704)</f>
        <v>1125704</v>
      </c>
      <c r="BA15" s="70" t="n">
        <f aca="false">IFERROR(__xludf.dummyfunction("""COMPUTED_VALUE"""),101167)</f>
        <v>101167</v>
      </c>
    </row>
    <row r="16" customFormat="false" ht="15.75" hidden="false" customHeight="false" outlineLevel="0" collapsed="false">
      <c r="A16" s="71" t="str">
        <f aca="false">IFERROR(__xludf.dummyfunction("""COMPUTED_VALUE"""),"zip_code")</f>
        <v>zip_code</v>
      </c>
      <c r="B16" s="72" t="n">
        <f aca="false">IFERROR(__xludf.dummyfunction("""COMPUTED_VALUE"""),23112838)</f>
        <v>23112838</v>
      </c>
      <c r="C16" s="73" t="n">
        <f aca="false">IFERROR(__xludf.dummyfunction("""COMPUTED_VALUE"""),455153)</f>
        <v>455153</v>
      </c>
      <c r="D16" s="70" t="n">
        <f aca="false">IFERROR(__xludf.dummyfunction("""COMPUTED_VALUE"""),46430)</f>
        <v>46430</v>
      </c>
      <c r="E16" s="70" t="n">
        <f aca="false">IFERROR(__xludf.dummyfunction("""COMPUTED_VALUE"""),425944)</f>
        <v>425944</v>
      </c>
      <c r="F16" s="70" t="n">
        <f aca="false">IFERROR(__xludf.dummyfunction("""COMPUTED_VALUE"""),512676)</f>
        <v>512676</v>
      </c>
      <c r="G16" s="70" t="n">
        <f aca="false">IFERROR(__xludf.dummyfunction("""COMPUTED_VALUE"""),1304548)</f>
        <v>1304548</v>
      </c>
      <c r="H16" s="70" t="n">
        <f aca="false">IFERROR(__xludf.dummyfunction("""COMPUTED_VALUE"""),357990)</f>
        <v>357990</v>
      </c>
      <c r="I16" s="70" t="n">
        <f aca="false">IFERROR(__xludf.dummyfunction("""COMPUTED_VALUE"""),182378)</f>
        <v>182378</v>
      </c>
      <c r="J16" s="70" t="n">
        <f aca="false">IFERROR(__xludf.dummyfunction("""COMPUTED_VALUE"""),75383)</f>
        <v>75383</v>
      </c>
      <c r="K16" s="70" t="n">
        <f aca="false">IFERROR(__xludf.dummyfunction("""COMPUTED_VALUE"""),34546)</f>
        <v>34546</v>
      </c>
      <c r="L16" s="70" t="n">
        <f aca="false">IFERROR(__xludf.dummyfunction("""COMPUTED_VALUE"""),1821290)</f>
        <v>1821290</v>
      </c>
      <c r="M16" s="70" t="n">
        <f aca="false">IFERROR(__xludf.dummyfunction("""COMPUTED_VALUE"""),555780)</f>
        <v>555780</v>
      </c>
      <c r="N16" s="70" t="n">
        <f aca="false">IFERROR(__xludf.dummyfunction("""COMPUTED_VALUE"""),69454)</f>
        <v>69454</v>
      </c>
      <c r="O16" s="70" t="n">
        <f aca="false">IFERROR(__xludf.dummyfunction("""COMPUTED_VALUE"""),87063)</f>
        <v>87063</v>
      </c>
      <c r="P16" s="70" t="n">
        <f aca="false">IFERROR(__xludf.dummyfunction("""COMPUTED_VALUE"""),938043)</f>
        <v>938043</v>
      </c>
      <c r="Q16" s="70" t="n">
        <f aca="false">IFERROR(__xludf.dummyfunction("""COMPUTED_VALUE"""),938316)</f>
        <v>938316</v>
      </c>
      <c r="R16" s="70" t="n">
        <f aca="false">IFERROR(__xludf.dummyfunction("""COMPUTED_VALUE"""),254254)</f>
        <v>254254</v>
      </c>
      <c r="S16" s="70" t="n">
        <f aca="false">IFERROR(__xludf.dummyfunction("""COMPUTED_VALUE"""),509822)</f>
        <v>509822</v>
      </c>
      <c r="T16" s="70" t="n">
        <f aca="false">IFERROR(__xludf.dummyfunction("""COMPUTED_VALUE"""),327437)</f>
        <v>327437</v>
      </c>
      <c r="U16" s="70" t="n">
        <f aca="false">IFERROR(__xludf.dummyfunction("""COMPUTED_VALUE"""),304850)</f>
        <v>304850</v>
      </c>
      <c r="V16" s="70" t="n">
        <f aca="false">IFERROR(__xludf.dummyfunction("""COMPUTED_VALUE"""),126583)</f>
        <v>126583</v>
      </c>
      <c r="W16" s="70" t="n">
        <f aca="false">IFERROR(__xludf.dummyfunction("""COMPUTED_VALUE"""),262312)</f>
        <v>262312</v>
      </c>
      <c r="X16" s="70" t="n">
        <f aca="false">IFERROR(__xludf.dummyfunction("""COMPUTED_VALUE"""),381001)</f>
        <v>381001</v>
      </c>
      <c r="Y16" s="70" t="n">
        <f aca="false">IFERROR(__xludf.dummyfunction("""COMPUTED_VALUE"""),766734)</f>
        <v>766734</v>
      </c>
      <c r="Z16" s="70" t="n">
        <f aca="false">IFERROR(__xludf.dummyfunction("""COMPUTED_VALUE"""),287046)</f>
        <v>287046</v>
      </c>
      <c r="AA16" s="70" t="n">
        <f aca="false">IFERROR(__xludf.dummyfunction("""COMPUTED_VALUE"""),239771)</f>
        <v>239771</v>
      </c>
      <c r="AB16" s="70" t="n">
        <f aca="false">IFERROR(__xludf.dummyfunction("""COMPUTED_VALUE"""),436543)</f>
        <v>436543</v>
      </c>
      <c r="AC16" s="70" t="n">
        <f aca="false">IFERROR(__xludf.dummyfunction("""COMPUTED_VALUE"""),94289)</f>
        <v>94289</v>
      </c>
      <c r="AD16" s="70" t="n">
        <f aca="false">IFERROR(__xludf.dummyfunction("""COMPUTED_VALUE"""),95035)</f>
        <v>95035</v>
      </c>
      <c r="AE16" s="70" t="n">
        <f aca="false">IFERROR(__xludf.dummyfunction("""COMPUTED_VALUE"""),127644)</f>
        <v>127644</v>
      </c>
      <c r="AF16" s="70" t="n">
        <f aca="false">IFERROR(__xludf.dummyfunction("""COMPUTED_VALUE"""),127136)</f>
        <v>127136</v>
      </c>
      <c r="AG16" s="70" t="n">
        <f aca="false">IFERROR(__xludf.dummyfunction("""COMPUTED_VALUE"""),441421)</f>
        <v>441421</v>
      </c>
      <c r="AH16" s="70" t="n">
        <f aca="false">IFERROR(__xludf.dummyfunction("""COMPUTED_VALUE"""),144349)</f>
        <v>144349</v>
      </c>
      <c r="AI16" s="70" t="n">
        <f aca="false">IFERROR(__xludf.dummyfunction("""COMPUTED_VALUE"""),1226205)</f>
        <v>1226205</v>
      </c>
      <c r="AJ16" s="70" t="n">
        <f aca="false">IFERROR(__xludf.dummyfunction("""COMPUTED_VALUE"""),913430)</f>
        <v>913430</v>
      </c>
      <c r="AK16" s="70" t="n">
        <f aca="false">IFERROR(__xludf.dummyfunction("""COMPUTED_VALUE"""),90258)</f>
        <v>90258</v>
      </c>
      <c r="AL16" s="70" t="n">
        <f aca="false">IFERROR(__xludf.dummyfunction("""COMPUTED_VALUE"""),1614594)</f>
        <v>1614594</v>
      </c>
      <c r="AM16" s="70" t="n">
        <f aca="false">IFERROR(__xludf.dummyfunction("""COMPUTED_VALUE"""),190015)</f>
        <v>190015</v>
      </c>
      <c r="AN16" s="70" t="n">
        <f aca="false">IFERROR(__xludf.dummyfunction("""COMPUTED_VALUE"""),213527)</f>
        <v>213527</v>
      </c>
      <c r="AO16" s="70" t="n">
        <f aca="false">IFERROR(__xludf.dummyfunction("""COMPUTED_VALUE"""),1006467)</f>
        <v>1006467</v>
      </c>
      <c r="AP16" s="70" t="n">
        <f aca="false">IFERROR(__xludf.dummyfunction("""COMPUTED_VALUE"""),79678)</f>
        <v>79678</v>
      </c>
      <c r="AQ16" s="70" t="n">
        <f aca="false">IFERROR(__xludf.dummyfunction("""COMPUTED_VALUE"""),448018)</f>
        <v>448018</v>
      </c>
      <c r="AR16" s="70" t="n">
        <f aca="false">IFERROR(__xludf.dummyfunction("""COMPUTED_VALUE"""),53888)</f>
        <v>53888</v>
      </c>
      <c r="AS16" s="70" t="n">
        <f aca="false">IFERROR(__xludf.dummyfunction("""COMPUTED_VALUE"""),441779)</f>
        <v>441779</v>
      </c>
      <c r="AT16" s="70" t="n">
        <f aca="false">IFERROR(__xludf.dummyfunction("""COMPUTED_VALUE"""),2427991)</f>
        <v>2427991</v>
      </c>
      <c r="AU16" s="70" t="n">
        <f aca="false">IFERROR(__xludf.dummyfunction("""COMPUTED_VALUE"""),125936)</f>
        <v>125936</v>
      </c>
      <c r="AV16" s="70" t="n">
        <f aca="false">IFERROR(__xludf.dummyfunction("""COMPUTED_VALUE"""),27225)</f>
        <v>27225</v>
      </c>
      <c r="AW16" s="70" t="n">
        <f aca="false">IFERROR(__xludf.dummyfunction("""COMPUTED_VALUE"""),368444)</f>
        <v>368444</v>
      </c>
      <c r="AX16" s="70" t="n">
        <f aca="false">IFERROR(__xludf.dummyfunction("""COMPUTED_VALUE"""),366208)</f>
        <v>366208</v>
      </c>
      <c r="AY16" s="70" t="n">
        <f aca="false">IFERROR(__xludf.dummyfunction("""COMPUTED_VALUE"""),352312)</f>
        <v>352312</v>
      </c>
      <c r="AZ16" s="70" t="n">
        <f aca="false">IFERROR(__xludf.dummyfunction("""COMPUTED_VALUE"""),375965)</f>
        <v>375965</v>
      </c>
      <c r="BA16" s="70" t="n">
        <f aca="false">IFERROR(__xludf.dummyfunction("""COMPUTED_VALUE"""),59677)</f>
        <v>59677</v>
      </c>
    </row>
    <row r="17" customFormat="false" ht="15.75" hidden="false" customHeight="false" outlineLevel="0" collapsed="false">
      <c r="A17" s="71" t="str">
        <f aca="false">IFERROR(__xludf.dummyfunction("""COMPUTED_VALUE"""),"zip_plus_four_code")</f>
        <v>zip_plus_four_code</v>
      </c>
      <c r="B17" s="72" t="n">
        <f aca="false">IFERROR(__xludf.dummyfunction("""COMPUTED_VALUE"""),6990956)</f>
        <v>6990956</v>
      </c>
      <c r="C17" s="73" t="n">
        <f aca="false">IFERROR(__xludf.dummyfunction("""COMPUTED_VALUE"""),108726)</f>
        <v>108726</v>
      </c>
      <c r="D17" s="70" t="n">
        <f aca="false">IFERROR(__xludf.dummyfunction("""COMPUTED_VALUE"""),15428)</f>
        <v>15428</v>
      </c>
      <c r="E17" s="70" t="n">
        <f aca="false">IFERROR(__xludf.dummyfunction("""COMPUTED_VALUE"""),125623)</f>
        <v>125623</v>
      </c>
      <c r="F17" s="70" t="n">
        <f aca="false">IFERROR(__xludf.dummyfunction("""COMPUTED_VALUE"""),90046)</f>
        <v>90046</v>
      </c>
      <c r="G17" s="70" t="n">
        <f aca="false">IFERROR(__xludf.dummyfunction("""COMPUTED_VALUE"""),642340)</f>
        <v>642340</v>
      </c>
      <c r="H17" s="70" t="n">
        <f aca="false">IFERROR(__xludf.dummyfunction("""COMPUTED_VALUE"""),116949)</f>
        <v>116949</v>
      </c>
      <c r="I17" s="70" t="n">
        <f aca="false">IFERROR(__xludf.dummyfunction("""COMPUTED_VALUE"""),63834)</f>
        <v>63834</v>
      </c>
      <c r="J17" s="70" t="n">
        <f aca="false">IFERROR(__xludf.dummyfunction("""COMPUTED_VALUE"""),20308)</f>
        <v>20308</v>
      </c>
      <c r="K17" s="70" t="n">
        <f aca="false">IFERROR(__xludf.dummyfunction("""COMPUTED_VALUE"""),25090)</f>
        <v>25090</v>
      </c>
      <c r="L17" s="70" t="n">
        <f aca="false">IFERROR(__xludf.dummyfunction("""COMPUTED_VALUE"""),423184)</f>
        <v>423184</v>
      </c>
      <c r="M17" s="70" t="n">
        <f aca="false">IFERROR(__xludf.dummyfunction("""COMPUTED_VALUE"""),190203)</f>
        <v>190203</v>
      </c>
      <c r="N17" s="70" t="n">
        <f aca="false">IFERROR(__xludf.dummyfunction("""COMPUTED_VALUE"""),13319)</f>
        <v>13319</v>
      </c>
      <c r="O17" s="70" t="n">
        <f aca="false">IFERROR(__xludf.dummyfunction("""COMPUTED_VALUE"""),36659)</f>
        <v>36659</v>
      </c>
      <c r="P17" s="70" t="n">
        <f aca="false">IFERROR(__xludf.dummyfunction("""COMPUTED_VALUE"""),342887)</f>
        <v>342887</v>
      </c>
      <c r="Q17" s="70" t="n">
        <f aca="false">IFERROR(__xludf.dummyfunction("""COMPUTED_VALUE"""),159608)</f>
        <v>159608</v>
      </c>
      <c r="R17" s="70" t="n">
        <f aca="false">IFERROR(__xludf.dummyfunction("""COMPUTED_VALUE"""),86120)</f>
        <v>86120</v>
      </c>
      <c r="S17" s="70" t="n">
        <f aca="false">IFERROR(__xludf.dummyfunction("""COMPUTED_VALUE"""),79445)</f>
        <v>79445</v>
      </c>
      <c r="T17" s="70" t="n">
        <f aca="false">IFERROR(__xludf.dummyfunction("""COMPUTED_VALUE"""),113214)</f>
        <v>113214</v>
      </c>
      <c r="U17" s="70" t="n">
        <f aca="false">IFERROR(__xludf.dummyfunction("""COMPUTED_VALUE"""),101378)</f>
        <v>101378</v>
      </c>
      <c r="V17" s="70" t="n">
        <f aca="false">IFERROR(__xludf.dummyfunction("""COMPUTED_VALUE"""),23866)</f>
        <v>23866</v>
      </c>
      <c r="W17" s="70" t="n">
        <f aca="false">IFERROR(__xludf.dummyfunction("""COMPUTED_VALUE"""),76115)</f>
        <v>76115</v>
      </c>
      <c r="X17" s="70" t="n">
        <f aca="false">IFERROR(__xludf.dummyfunction("""COMPUTED_VALUE"""),128635)</f>
        <v>128635</v>
      </c>
      <c r="Y17" s="70" t="n">
        <f aca="false">IFERROR(__xludf.dummyfunction("""COMPUTED_VALUE"""),256050)</f>
        <v>256050</v>
      </c>
      <c r="Z17" s="70" t="n">
        <f aca="false">IFERROR(__xludf.dummyfunction("""COMPUTED_VALUE"""),139663)</f>
        <v>139663</v>
      </c>
      <c r="AA17" s="70" t="n">
        <f aca="false">IFERROR(__xludf.dummyfunction("""COMPUTED_VALUE"""),60719)</f>
        <v>60719</v>
      </c>
      <c r="AB17" s="70" t="n">
        <f aca="false">IFERROR(__xludf.dummyfunction("""COMPUTED_VALUE"""),123200)</f>
        <v>123200</v>
      </c>
      <c r="AC17" s="70" t="n">
        <f aca="false">IFERROR(__xludf.dummyfunction("""COMPUTED_VALUE"""),25028)</f>
        <v>25028</v>
      </c>
      <c r="AD17" s="70" t="n">
        <f aca="false">IFERROR(__xludf.dummyfunction("""COMPUTED_VALUE"""),50016)</f>
        <v>50016</v>
      </c>
      <c r="AE17" s="70" t="n">
        <f aca="false">IFERROR(__xludf.dummyfunction("""COMPUTED_VALUE"""),39429)</f>
        <v>39429</v>
      </c>
      <c r="AF17" s="70" t="n">
        <f aca="false">IFERROR(__xludf.dummyfunction("""COMPUTED_VALUE"""),27062)</f>
        <v>27062</v>
      </c>
      <c r="AG17" s="70" t="n">
        <f aca="false">IFERROR(__xludf.dummyfunction("""COMPUTED_VALUE"""),175997)</f>
        <v>175997</v>
      </c>
      <c r="AH17" s="70" t="n">
        <f aca="false">IFERROR(__xludf.dummyfunction("""COMPUTED_VALUE"""),41471)</f>
        <v>41471</v>
      </c>
      <c r="AI17" s="70" t="n">
        <f aca="false">IFERROR(__xludf.dummyfunction("""COMPUTED_VALUE"""),386809)</f>
        <v>386809</v>
      </c>
      <c r="AJ17" s="70" t="n">
        <f aca="false">IFERROR(__xludf.dummyfunction("""COMPUTED_VALUE"""),231316)</f>
        <v>231316</v>
      </c>
      <c r="AK17" s="70" t="n">
        <f aca="false">IFERROR(__xludf.dummyfunction("""COMPUTED_VALUE"""),29466)</f>
        <v>29466</v>
      </c>
      <c r="AL17" s="70" t="n">
        <f aca="false">IFERROR(__xludf.dummyfunction("""COMPUTED_VALUE"""),346101)</f>
        <v>346101</v>
      </c>
      <c r="AM17" s="70" t="n">
        <f aca="false">IFERROR(__xludf.dummyfunction("""COMPUTED_VALUE"""),79529)</f>
        <v>79529</v>
      </c>
      <c r="AN17" s="70" t="n">
        <f aca="false">IFERROR(__xludf.dummyfunction("""COMPUTED_VALUE"""),120441)</f>
        <v>120441</v>
      </c>
      <c r="AO17" s="70" t="n">
        <f aca="false">IFERROR(__xludf.dummyfunction("""COMPUTED_VALUE"""),343617)</f>
        <v>343617</v>
      </c>
      <c r="AP17" s="70" t="n">
        <f aca="false">IFERROR(__xludf.dummyfunction("""COMPUTED_VALUE"""),23938)</f>
        <v>23938</v>
      </c>
      <c r="AQ17" s="70" t="n">
        <f aca="false">IFERROR(__xludf.dummyfunction("""COMPUTED_VALUE"""),133553)</f>
        <v>133553</v>
      </c>
      <c r="AR17" s="70" t="n">
        <f aca="false">IFERROR(__xludf.dummyfunction("""COMPUTED_VALUE"""),27941)</f>
        <v>27941</v>
      </c>
      <c r="AS17" s="70" t="n">
        <f aca="false">IFERROR(__xludf.dummyfunction("""COMPUTED_VALUE"""),148170)</f>
        <v>148170</v>
      </c>
      <c r="AT17" s="70" t="n">
        <f aca="false">IFERROR(__xludf.dummyfunction("""COMPUTED_VALUE"""),593089)</f>
        <v>593089</v>
      </c>
      <c r="AU17" s="70" t="n">
        <f aca="false">IFERROR(__xludf.dummyfunction("""COMPUTED_VALUE"""),54051)</f>
        <v>54051</v>
      </c>
      <c r="AV17" s="70" t="n">
        <f aca="false">IFERROR(__xludf.dummyfunction("""COMPUTED_VALUE"""),14625)</f>
        <v>14625</v>
      </c>
      <c r="AW17" s="70" t="n">
        <f aca="false">IFERROR(__xludf.dummyfunction("""COMPUTED_VALUE"""),159784)</f>
        <v>159784</v>
      </c>
      <c r="AX17" s="70" t="n">
        <f aca="false">IFERROR(__xludf.dummyfunction("""COMPUTED_VALUE"""),135866)</f>
        <v>135866</v>
      </c>
      <c r="AY17" s="70" t="n">
        <f aca="false">IFERROR(__xludf.dummyfunction("""COMPUTED_VALUE"""),33468)</f>
        <v>33468</v>
      </c>
      <c r="AZ17" s="70" t="n">
        <f aca="false">IFERROR(__xludf.dummyfunction("""COMPUTED_VALUE"""),190968)</f>
        <v>190968</v>
      </c>
      <c r="BA17" s="70" t="n">
        <f aca="false">IFERROR(__xludf.dummyfunction("""COMPUTED_VALUE"""),16612)</f>
        <v>16612</v>
      </c>
    </row>
    <row r="18" customFormat="false" ht="15.75" hidden="false" customHeight="false" outlineLevel="0" collapsed="false">
      <c r="A18" s="71" t="str">
        <f aca="false">IFERROR(__xludf.dummyfunction("""COMPUTED_VALUE"""),"latitude")</f>
        <v>latitude</v>
      </c>
      <c r="B18" s="72" t="n">
        <f aca="false">IFERROR(__xludf.dummyfunction("""COMPUTED_VALUE"""),32543688)</f>
        <v>32543688</v>
      </c>
      <c r="C18" s="73" t="n">
        <f aca="false">IFERROR(__xludf.dummyfunction("""COMPUTED_VALUE"""),698859)</f>
        <v>698859</v>
      </c>
      <c r="D18" s="70" t="n">
        <f aca="false">IFERROR(__xludf.dummyfunction("""COMPUTED_VALUE"""),92658)</f>
        <v>92658</v>
      </c>
      <c r="E18" s="70" t="n">
        <f aca="false">IFERROR(__xludf.dummyfunction("""COMPUTED_VALUE"""),768263)</f>
        <v>768263</v>
      </c>
      <c r="F18" s="70" t="n">
        <f aca="false">IFERROR(__xludf.dummyfunction("""COMPUTED_VALUE"""),859287)</f>
        <v>859287</v>
      </c>
      <c r="G18" s="70" t="n">
        <f aca="false">IFERROR(__xludf.dummyfunction("""COMPUTED_VALUE"""),2211836)</f>
        <v>2211836</v>
      </c>
      <c r="H18" s="70" t="n">
        <f aca="false">IFERROR(__xludf.dummyfunction("""COMPUTED_VALUE"""),568748)</f>
        <v>568748</v>
      </c>
      <c r="I18" s="70" t="n">
        <f aca="false">IFERROR(__xludf.dummyfunction("""COMPUTED_VALUE"""),176315)</f>
        <v>176315</v>
      </c>
      <c r="J18" s="70" t="n">
        <f aca="false">IFERROR(__xludf.dummyfunction("""COMPUTED_VALUE"""),70107)</f>
        <v>70107</v>
      </c>
      <c r="K18" s="70" t="n">
        <f aca="false">IFERROR(__xludf.dummyfunction("""COMPUTED_VALUE"""),33936)</f>
        <v>33936</v>
      </c>
      <c r="L18" s="70" t="n">
        <f aca="false">IFERROR(__xludf.dummyfunction("""COMPUTED_VALUE"""),2057118)</f>
        <v>2057118</v>
      </c>
      <c r="M18" s="70" t="n">
        <f aca="false">IFERROR(__xludf.dummyfunction("""COMPUTED_VALUE"""),570591)</f>
        <v>570591</v>
      </c>
      <c r="N18" s="70" t="n">
        <f aca="false">IFERROR(__xludf.dummyfunction("""COMPUTED_VALUE"""),98709)</f>
        <v>98709</v>
      </c>
      <c r="O18" s="70" t="n">
        <f aca="false">IFERROR(__xludf.dummyfunction("""COMPUTED_VALUE"""),233457)</f>
        <v>233457</v>
      </c>
      <c r="P18" s="70" t="n">
        <f aca="false">IFERROR(__xludf.dummyfunction("""COMPUTED_VALUE"""),1353256)</f>
        <v>1353256</v>
      </c>
      <c r="Q18" s="70" t="n">
        <f aca="false">IFERROR(__xludf.dummyfunction("""COMPUTED_VALUE"""),944563)</f>
        <v>944563</v>
      </c>
      <c r="R18" s="70" t="n">
        <f aca="false">IFERROR(__xludf.dummyfunction("""COMPUTED_VALUE"""),987311)</f>
        <v>987311</v>
      </c>
      <c r="S18" s="70" t="n">
        <f aca="false">IFERROR(__xludf.dummyfunction("""COMPUTED_VALUE"""),534576)</f>
        <v>534576</v>
      </c>
      <c r="T18" s="70" t="n">
        <f aca="false">IFERROR(__xludf.dummyfunction("""COMPUTED_VALUE"""),319110)</f>
        <v>319110</v>
      </c>
      <c r="U18" s="70" t="n">
        <f aca="false">IFERROR(__xludf.dummyfunction("""COMPUTED_VALUE"""),677497)</f>
        <v>677497</v>
      </c>
      <c r="V18" s="70" t="n">
        <f aca="false">IFERROR(__xludf.dummyfunction("""COMPUTED_VALUE"""),125210)</f>
        <v>125210</v>
      </c>
      <c r="W18" s="70" t="n">
        <f aca="false">IFERROR(__xludf.dummyfunction("""COMPUTED_VALUE"""),255317)</f>
        <v>255317</v>
      </c>
      <c r="X18" s="70" t="n">
        <f aca="false">IFERROR(__xludf.dummyfunction("""COMPUTED_VALUE"""),361043)</f>
        <v>361043</v>
      </c>
      <c r="Y18" s="70" t="n">
        <f aca="false">IFERROR(__xludf.dummyfunction("""COMPUTED_VALUE"""),865915)</f>
        <v>865915</v>
      </c>
      <c r="Z18" s="70" t="n">
        <f aca="false">IFERROR(__xludf.dummyfunction("""COMPUTED_VALUE"""),844684)</f>
        <v>844684</v>
      </c>
      <c r="AA18" s="70" t="n">
        <f aca="false">IFERROR(__xludf.dummyfunction("""COMPUTED_VALUE"""),501979)</f>
        <v>501979</v>
      </c>
      <c r="AB18" s="70" t="n">
        <f aca="false">IFERROR(__xludf.dummyfunction("""COMPUTED_VALUE"""),621894)</f>
        <v>621894</v>
      </c>
      <c r="AC18" s="70" t="n">
        <f aca="false">IFERROR(__xludf.dummyfunction("""COMPUTED_VALUE"""),431233)</f>
        <v>431233</v>
      </c>
      <c r="AD18" s="70" t="n">
        <f aca="false">IFERROR(__xludf.dummyfunction("""COMPUTED_VALUE"""),261213)</f>
        <v>261213</v>
      </c>
      <c r="AE18" s="70" t="n">
        <f aca="false">IFERROR(__xludf.dummyfunction("""COMPUTED_VALUE"""),168813)</f>
        <v>168813</v>
      </c>
      <c r="AF18" s="70" t="n">
        <f aca="false">IFERROR(__xludf.dummyfunction("""COMPUTED_VALUE"""),122682)</f>
        <v>122682</v>
      </c>
      <c r="AG18" s="70" t="n">
        <f aca="false">IFERROR(__xludf.dummyfunction("""COMPUTED_VALUE"""),434078)</f>
        <v>434078</v>
      </c>
      <c r="AH18" s="70" t="n">
        <f aca="false">IFERROR(__xludf.dummyfunction("""COMPUTED_VALUE"""),496436)</f>
        <v>496436</v>
      </c>
      <c r="AI18" s="70" t="n">
        <f aca="false">IFERROR(__xludf.dummyfunction("""COMPUTED_VALUE"""),1171380)</f>
        <v>1171380</v>
      </c>
      <c r="AJ18" s="70" t="n">
        <f aca="false">IFERROR(__xludf.dummyfunction("""COMPUTED_VALUE"""),955443)</f>
        <v>955443</v>
      </c>
      <c r="AK18" s="70" t="n">
        <f aca="false">IFERROR(__xludf.dummyfunction("""COMPUTED_VALUE"""),428395)</f>
        <v>428395</v>
      </c>
      <c r="AL18" s="70" t="n">
        <f aca="false">IFERROR(__xludf.dummyfunction("""COMPUTED_VALUE"""),1611548)</f>
        <v>1611548</v>
      </c>
      <c r="AM18" s="70" t="n">
        <f aca="false">IFERROR(__xludf.dummyfunction("""COMPUTED_VALUE"""),568440)</f>
        <v>568440</v>
      </c>
      <c r="AN18" s="70" t="n">
        <f aca="false">IFERROR(__xludf.dummyfunction("""COMPUTED_VALUE"""),457560)</f>
        <v>457560</v>
      </c>
      <c r="AO18" s="70" t="n">
        <f aca="false">IFERROR(__xludf.dummyfunction("""COMPUTED_VALUE"""),1076824)</f>
        <v>1076824</v>
      </c>
      <c r="AP18" s="70" t="n">
        <f aca="false">IFERROR(__xludf.dummyfunction("""COMPUTED_VALUE"""),76847)</f>
        <v>76847</v>
      </c>
      <c r="AQ18" s="70" t="n">
        <f aca="false">IFERROR(__xludf.dummyfunction("""COMPUTED_VALUE"""),537967)</f>
        <v>537967</v>
      </c>
      <c r="AR18" s="70" t="n">
        <f aca="false">IFERROR(__xludf.dummyfunction("""COMPUTED_VALUE"""),307401)</f>
        <v>307401</v>
      </c>
      <c r="AS18" s="70" t="n">
        <f aca="false">IFERROR(__xludf.dummyfunction("""COMPUTED_VALUE"""),424693)</f>
        <v>424693</v>
      </c>
      <c r="AT18" s="70" t="n">
        <f aca="false">IFERROR(__xludf.dummyfunction("""COMPUTED_VALUE"""),3272487)</f>
        <v>3272487</v>
      </c>
      <c r="AU18" s="70" t="n">
        <f aca="false">IFERROR(__xludf.dummyfunction("""COMPUTED_VALUE"""),287088)</f>
        <v>287088</v>
      </c>
      <c r="AV18" s="70" t="n">
        <f aca="false">IFERROR(__xludf.dummyfunction("""COMPUTED_VALUE"""),30990)</f>
        <v>30990</v>
      </c>
      <c r="AW18" s="70" t="n">
        <f aca="false">IFERROR(__xludf.dummyfunction("""COMPUTED_VALUE"""),548080)</f>
        <v>548080</v>
      </c>
      <c r="AX18" s="70" t="n">
        <f aca="false">IFERROR(__xludf.dummyfunction("""COMPUTED_VALUE"""),671543)</f>
        <v>671543</v>
      </c>
      <c r="AY18" s="70" t="n">
        <f aca="false">IFERROR(__xludf.dummyfunction("""COMPUTED_VALUE"""),399800)</f>
        <v>399800</v>
      </c>
      <c r="AZ18" s="70" t="n">
        <f aca="false">IFERROR(__xludf.dummyfunction("""COMPUTED_VALUE"""),888615)</f>
        <v>888615</v>
      </c>
      <c r="BA18" s="70" t="n">
        <f aca="false">IFERROR(__xludf.dummyfunction("""COMPUTED_VALUE"""),81893)</f>
        <v>81893</v>
      </c>
    </row>
    <row r="19" customFormat="false" ht="15.75" hidden="false" customHeight="false" outlineLevel="0" collapsed="false">
      <c r="A19" s="71" t="str">
        <f aca="false">IFERROR(__xludf.dummyfunction("""COMPUTED_VALUE"""),"longitude")</f>
        <v>longitude</v>
      </c>
      <c r="B19" s="72" t="n">
        <f aca="false">IFERROR(__xludf.dummyfunction("""COMPUTED_VALUE"""),32543688)</f>
        <v>32543688</v>
      </c>
      <c r="C19" s="73" t="n">
        <f aca="false">IFERROR(__xludf.dummyfunction("""COMPUTED_VALUE"""),698859)</f>
        <v>698859</v>
      </c>
      <c r="D19" s="70" t="n">
        <f aca="false">IFERROR(__xludf.dummyfunction("""COMPUTED_VALUE"""),92658)</f>
        <v>92658</v>
      </c>
      <c r="E19" s="70" t="n">
        <f aca="false">IFERROR(__xludf.dummyfunction("""COMPUTED_VALUE"""),768263)</f>
        <v>768263</v>
      </c>
      <c r="F19" s="70" t="n">
        <f aca="false">IFERROR(__xludf.dummyfunction("""COMPUTED_VALUE"""),859287)</f>
        <v>859287</v>
      </c>
      <c r="G19" s="70" t="n">
        <f aca="false">IFERROR(__xludf.dummyfunction("""COMPUTED_VALUE"""),2211836)</f>
        <v>2211836</v>
      </c>
      <c r="H19" s="70" t="n">
        <f aca="false">IFERROR(__xludf.dummyfunction("""COMPUTED_VALUE"""),568748)</f>
        <v>568748</v>
      </c>
      <c r="I19" s="70" t="n">
        <f aca="false">IFERROR(__xludf.dummyfunction("""COMPUTED_VALUE"""),176315)</f>
        <v>176315</v>
      </c>
      <c r="J19" s="70" t="n">
        <f aca="false">IFERROR(__xludf.dummyfunction("""COMPUTED_VALUE"""),70107)</f>
        <v>70107</v>
      </c>
      <c r="K19" s="70" t="n">
        <f aca="false">IFERROR(__xludf.dummyfunction("""COMPUTED_VALUE"""),33936)</f>
        <v>33936</v>
      </c>
      <c r="L19" s="70" t="n">
        <f aca="false">IFERROR(__xludf.dummyfunction("""COMPUTED_VALUE"""),2057118)</f>
        <v>2057118</v>
      </c>
      <c r="M19" s="70" t="n">
        <f aca="false">IFERROR(__xludf.dummyfunction("""COMPUTED_VALUE"""),570591)</f>
        <v>570591</v>
      </c>
      <c r="N19" s="70" t="n">
        <f aca="false">IFERROR(__xludf.dummyfunction("""COMPUTED_VALUE"""),98709)</f>
        <v>98709</v>
      </c>
      <c r="O19" s="70" t="n">
        <f aca="false">IFERROR(__xludf.dummyfunction("""COMPUTED_VALUE"""),233457)</f>
        <v>233457</v>
      </c>
      <c r="P19" s="70" t="n">
        <f aca="false">IFERROR(__xludf.dummyfunction("""COMPUTED_VALUE"""),1353256)</f>
        <v>1353256</v>
      </c>
      <c r="Q19" s="70" t="n">
        <f aca="false">IFERROR(__xludf.dummyfunction("""COMPUTED_VALUE"""),944563)</f>
        <v>944563</v>
      </c>
      <c r="R19" s="70" t="n">
        <f aca="false">IFERROR(__xludf.dummyfunction("""COMPUTED_VALUE"""),987311)</f>
        <v>987311</v>
      </c>
      <c r="S19" s="70" t="n">
        <f aca="false">IFERROR(__xludf.dummyfunction("""COMPUTED_VALUE"""),534576)</f>
        <v>534576</v>
      </c>
      <c r="T19" s="70" t="n">
        <f aca="false">IFERROR(__xludf.dummyfunction("""COMPUTED_VALUE"""),319110)</f>
        <v>319110</v>
      </c>
      <c r="U19" s="70" t="n">
        <f aca="false">IFERROR(__xludf.dummyfunction("""COMPUTED_VALUE"""),677497)</f>
        <v>677497</v>
      </c>
      <c r="V19" s="70" t="n">
        <f aca="false">IFERROR(__xludf.dummyfunction("""COMPUTED_VALUE"""),125210)</f>
        <v>125210</v>
      </c>
      <c r="W19" s="70" t="n">
        <f aca="false">IFERROR(__xludf.dummyfunction("""COMPUTED_VALUE"""),255317)</f>
        <v>255317</v>
      </c>
      <c r="X19" s="70" t="n">
        <f aca="false">IFERROR(__xludf.dummyfunction("""COMPUTED_VALUE"""),361043)</f>
        <v>361043</v>
      </c>
      <c r="Y19" s="70" t="n">
        <f aca="false">IFERROR(__xludf.dummyfunction("""COMPUTED_VALUE"""),865915)</f>
        <v>865915</v>
      </c>
      <c r="Z19" s="70" t="n">
        <f aca="false">IFERROR(__xludf.dummyfunction("""COMPUTED_VALUE"""),844684)</f>
        <v>844684</v>
      </c>
      <c r="AA19" s="70" t="n">
        <f aca="false">IFERROR(__xludf.dummyfunction("""COMPUTED_VALUE"""),501979)</f>
        <v>501979</v>
      </c>
      <c r="AB19" s="70" t="n">
        <f aca="false">IFERROR(__xludf.dummyfunction("""COMPUTED_VALUE"""),621894)</f>
        <v>621894</v>
      </c>
      <c r="AC19" s="70" t="n">
        <f aca="false">IFERROR(__xludf.dummyfunction("""COMPUTED_VALUE"""),431233)</f>
        <v>431233</v>
      </c>
      <c r="AD19" s="70" t="n">
        <f aca="false">IFERROR(__xludf.dummyfunction("""COMPUTED_VALUE"""),261213)</f>
        <v>261213</v>
      </c>
      <c r="AE19" s="70" t="n">
        <f aca="false">IFERROR(__xludf.dummyfunction("""COMPUTED_VALUE"""),168813)</f>
        <v>168813</v>
      </c>
      <c r="AF19" s="70" t="n">
        <f aca="false">IFERROR(__xludf.dummyfunction("""COMPUTED_VALUE"""),122682)</f>
        <v>122682</v>
      </c>
      <c r="AG19" s="70" t="n">
        <f aca="false">IFERROR(__xludf.dummyfunction("""COMPUTED_VALUE"""),434078)</f>
        <v>434078</v>
      </c>
      <c r="AH19" s="70" t="n">
        <f aca="false">IFERROR(__xludf.dummyfunction("""COMPUTED_VALUE"""),496436)</f>
        <v>496436</v>
      </c>
      <c r="AI19" s="70" t="n">
        <f aca="false">IFERROR(__xludf.dummyfunction("""COMPUTED_VALUE"""),1171380)</f>
        <v>1171380</v>
      </c>
      <c r="AJ19" s="70" t="n">
        <f aca="false">IFERROR(__xludf.dummyfunction("""COMPUTED_VALUE"""),955443)</f>
        <v>955443</v>
      </c>
      <c r="AK19" s="70" t="n">
        <f aca="false">IFERROR(__xludf.dummyfunction("""COMPUTED_VALUE"""),428395)</f>
        <v>428395</v>
      </c>
      <c r="AL19" s="70" t="n">
        <f aca="false">IFERROR(__xludf.dummyfunction("""COMPUTED_VALUE"""),1611548)</f>
        <v>1611548</v>
      </c>
      <c r="AM19" s="70" t="n">
        <f aca="false">IFERROR(__xludf.dummyfunction("""COMPUTED_VALUE"""),568440)</f>
        <v>568440</v>
      </c>
      <c r="AN19" s="70" t="n">
        <f aca="false">IFERROR(__xludf.dummyfunction("""COMPUTED_VALUE"""),457560)</f>
        <v>457560</v>
      </c>
      <c r="AO19" s="70" t="n">
        <f aca="false">IFERROR(__xludf.dummyfunction("""COMPUTED_VALUE"""),1076824)</f>
        <v>1076824</v>
      </c>
      <c r="AP19" s="70" t="n">
        <f aca="false">IFERROR(__xludf.dummyfunction("""COMPUTED_VALUE"""),76847)</f>
        <v>76847</v>
      </c>
      <c r="AQ19" s="70" t="n">
        <f aca="false">IFERROR(__xludf.dummyfunction("""COMPUTED_VALUE"""),537967)</f>
        <v>537967</v>
      </c>
      <c r="AR19" s="70" t="n">
        <f aca="false">IFERROR(__xludf.dummyfunction("""COMPUTED_VALUE"""),307401)</f>
        <v>307401</v>
      </c>
      <c r="AS19" s="70" t="n">
        <f aca="false">IFERROR(__xludf.dummyfunction("""COMPUTED_VALUE"""),424693)</f>
        <v>424693</v>
      </c>
      <c r="AT19" s="70" t="n">
        <f aca="false">IFERROR(__xludf.dummyfunction("""COMPUTED_VALUE"""),3272487)</f>
        <v>3272487</v>
      </c>
      <c r="AU19" s="70" t="n">
        <f aca="false">IFERROR(__xludf.dummyfunction("""COMPUTED_VALUE"""),287088)</f>
        <v>287088</v>
      </c>
      <c r="AV19" s="70" t="n">
        <f aca="false">IFERROR(__xludf.dummyfunction("""COMPUTED_VALUE"""),30990)</f>
        <v>30990</v>
      </c>
      <c r="AW19" s="70" t="n">
        <f aca="false">IFERROR(__xludf.dummyfunction("""COMPUTED_VALUE"""),548080)</f>
        <v>548080</v>
      </c>
      <c r="AX19" s="70" t="n">
        <f aca="false">IFERROR(__xludf.dummyfunction("""COMPUTED_VALUE"""),671543)</f>
        <v>671543</v>
      </c>
      <c r="AY19" s="70" t="n">
        <f aca="false">IFERROR(__xludf.dummyfunction("""COMPUTED_VALUE"""),399800)</f>
        <v>399800</v>
      </c>
      <c r="AZ19" s="70" t="n">
        <f aca="false">IFERROR(__xludf.dummyfunction("""COMPUTED_VALUE"""),888615)</f>
        <v>888615</v>
      </c>
      <c r="BA19" s="70" t="n">
        <f aca="false">IFERROR(__xludf.dummyfunction("""COMPUTED_VALUE"""),81893)</f>
        <v>81893</v>
      </c>
    </row>
    <row r="20" customFormat="false" ht="15.75" hidden="false" customHeight="false" outlineLevel="0" collapsed="false">
      <c r="A20" s="71" t="str">
        <f aca="false">IFERROR(__xludf.dummyfunction("""COMPUTED_VALUE"""),"geocoding_accuracy")</f>
        <v>geocoding_accuracy</v>
      </c>
      <c r="B20" s="72" t="n">
        <f aca="false">IFERROR(__xludf.dummyfunction("""COMPUTED_VALUE"""),0)</f>
        <v>0</v>
      </c>
      <c r="C20" s="73" t="n">
        <f aca="false">IFERROR(__xludf.dummyfunction("""COMPUTED_VALUE"""),0)</f>
        <v>0</v>
      </c>
      <c r="D20" s="70" t="n">
        <f aca="false">IFERROR(__xludf.dummyfunction("""COMPUTED_VALUE"""),0)</f>
        <v>0</v>
      </c>
      <c r="E20" s="70" t="n">
        <f aca="false">IFERROR(__xludf.dummyfunction("""COMPUTED_VALUE"""),0)</f>
        <v>0</v>
      </c>
      <c r="F20" s="70" t="n">
        <f aca="false">IFERROR(__xludf.dummyfunction("""COMPUTED_VALUE"""),0)</f>
        <v>0</v>
      </c>
      <c r="G20" s="70" t="n">
        <f aca="false">IFERROR(__xludf.dummyfunction("""COMPUTED_VALUE"""),0)</f>
        <v>0</v>
      </c>
      <c r="H20" s="70" t="n">
        <f aca="false">IFERROR(__xludf.dummyfunction("""COMPUTED_VALUE"""),0)</f>
        <v>0</v>
      </c>
      <c r="I20" s="70" t="n">
        <f aca="false">IFERROR(__xludf.dummyfunction("""COMPUTED_VALUE"""),0)</f>
        <v>0</v>
      </c>
      <c r="J20" s="70" t="n">
        <f aca="false">IFERROR(__xludf.dummyfunction("""COMPUTED_VALUE"""),0)</f>
        <v>0</v>
      </c>
      <c r="K20" s="70" t="n">
        <f aca="false">IFERROR(__xludf.dummyfunction("""COMPUTED_VALUE"""),0)</f>
        <v>0</v>
      </c>
      <c r="L20" s="70" t="n">
        <f aca="false">IFERROR(__xludf.dummyfunction("""COMPUTED_VALUE"""),0)</f>
        <v>0</v>
      </c>
      <c r="M20" s="70" t="n">
        <f aca="false">IFERROR(__xludf.dummyfunction("""COMPUTED_VALUE"""),0)</f>
        <v>0</v>
      </c>
      <c r="N20" s="70" t="n">
        <f aca="false">IFERROR(__xludf.dummyfunction("""COMPUTED_VALUE"""),0)</f>
        <v>0</v>
      </c>
      <c r="O20" s="70" t="n">
        <f aca="false">IFERROR(__xludf.dummyfunction("""COMPUTED_VALUE"""),0)</f>
        <v>0</v>
      </c>
      <c r="P20" s="70" t="n">
        <f aca="false">IFERROR(__xludf.dummyfunction("""COMPUTED_VALUE"""),0)</f>
        <v>0</v>
      </c>
      <c r="Q20" s="70" t="n">
        <f aca="false">IFERROR(__xludf.dummyfunction("""COMPUTED_VALUE"""),0)</f>
        <v>0</v>
      </c>
      <c r="R20" s="70" t="n">
        <f aca="false">IFERROR(__xludf.dummyfunction("""COMPUTED_VALUE"""),0)</f>
        <v>0</v>
      </c>
      <c r="S20" s="70" t="n">
        <f aca="false">IFERROR(__xludf.dummyfunction("""COMPUTED_VALUE"""),0)</f>
        <v>0</v>
      </c>
      <c r="T20" s="70" t="n">
        <f aca="false">IFERROR(__xludf.dummyfunction("""COMPUTED_VALUE"""),0)</f>
        <v>0</v>
      </c>
      <c r="U20" s="70" t="n">
        <f aca="false">IFERROR(__xludf.dummyfunction("""COMPUTED_VALUE"""),0)</f>
        <v>0</v>
      </c>
      <c r="V20" s="70" t="n">
        <f aca="false">IFERROR(__xludf.dummyfunction("""COMPUTED_VALUE"""),0)</f>
        <v>0</v>
      </c>
      <c r="W20" s="70" t="n">
        <f aca="false">IFERROR(__xludf.dummyfunction("""COMPUTED_VALUE"""),0)</f>
        <v>0</v>
      </c>
      <c r="X20" s="70" t="n">
        <f aca="false">IFERROR(__xludf.dummyfunction("""COMPUTED_VALUE"""),0)</f>
        <v>0</v>
      </c>
      <c r="Y20" s="70" t="n">
        <f aca="false">IFERROR(__xludf.dummyfunction("""COMPUTED_VALUE"""),0)</f>
        <v>0</v>
      </c>
      <c r="Z20" s="70" t="n">
        <f aca="false">IFERROR(__xludf.dummyfunction("""COMPUTED_VALUE"""),0)</f>
        <v>0</v>
      </c>
      <c r="AA20" s="70" t="n">
        <f aca="false">IFERROR(__xludf.dummyfunction("""COMPUTED_VALUE"""),0)</f>
        <v>0</v>
      </c>
      <c r="AB20" s="70" t="n">
        <f aca="false">IFERROR(__xludf.dummyfunction("""COMPUTED_VALUE"""),0)</f>
        <v>0</v>
      </c>
      <c r="AC20" s="70" t="n">
        <f aca="false">IFERROR(__xludf.dummyfunction("""COMPUTED_VALUE"""),0)</f>
        <v>0</v>
      </c>
      <c r="AD20" s="70" t="n">
        <f aca="false">IFERROR(__xludf.dummyfunction("""COMPUTED_VALUE"""),0)</f>
        <v>0</v>
      </c>
      <c r="AE20" s="70" t="n">
        <f aca="false">IFERROR(__xludf.dummyfunction("""COMPUTED_VALUE"""),0)</f>
        <v>0</v>
      </c>
      <c r="AF20" s="70" t="n">
        <f aca="false">IFERROR(__xludf.dummyfunction("""COMPUTED_VALUE"""),0)</f>
        <v>0</v>
      </c>
      <c r="AG20" s="70" t="n">
        <f aca="false">IFERROR(__xludf.dummyfunction("""COMPUTED_VALUE"""),0)</f>
        <v>0</v>
      </c>
      <c r="AH20" s="70" t="n">
        <f aca="false">IFERROR(__xludf.dummyfunction("""COMPUTED_VALUE"""),0)</f>
        <v>0</v>
      </c>
      <c r="AI20" s="70" t="n">
        <f aca="false">IFERROR(__xludf.dummyfunction("""COMPUTED_VALUE"""),0)</f>
        <v>0</v>
      </c>
      <c r="AJ20" s="70" t="n">
        <f aca="false">IFERROR(__xludf.dummyfunction("""COMPUTED_VALUE"""),0)</f>
        <v>0</v>
      </c>
      <c r="AK20" s="70" t="n">
        <f aca="false">IFERROR(__xludf.dummyfunction("""COMPUTED_VALUE"""),0)</f>
        <v>0</v>
      </c>
      <c r="AL20" s="70" t="n">
        <f aca="false">IFERROR(__xludf.dummyfunction("""COMPUTED_VALUE"""),0)</f>
        <v>0</v>
      </c>
      <c r="AM20" s="70" t="n">
        <f aca="false">IFERROR(__xludf.dummyfunction("""COMPUTED_VALUE"""),0)</f>
        <v>0</v>
      </c>
      <c r="AN20" s="70" t="n">
        <f aca="false">IFERROR(__xludf.dummyfunction("""COMPUTED_VALUE"""),0)</f>
        <v>0</v>
      </c>
      <c r="AO20" s="70" t="n">
        <f aca="false">IFERROR(__xludf.dummyfunction("""COMPUTED_VALUE"""),0)</f>
        <v>0</v>
      </c>
      <c r="AP20" s="70" t="n">
        <f aca="false">IFERROR(__xludf.dummyfunction("""COMPUTED_VALUE"""),0)</f>
        <v>0</v>
      </c>
      <c r="AQ20" s="70" t="n">
        <f aca="false">IFERROR(__xludf.dummyfunction("""COMPUTED_VALUE"""),0)</f>
        <v>0</v>
      </c>
      <c r="AR20" s="70" t="n">
        <f aca="false">IFERROR(__xludf.dummyfunction("""COMPUTED_VALUE"""),0)</f>
        <v>0</v>
      </c>
      <c r="AS20" s="70" t="n">
        <f aca="false">IFERROR(__xludf.dummyfunction("""COMPUTED_VALUE"""),0)</f>
        <v>0</v>
      </c>
      <c r="AT20" s="70" t="n">
        <f aca="false">IFERROR(__xludf.dummyfunction("""COMPUTED_VALUE"""),0)</f>
        <v>0</v>
      </c>
      <c r="AU20" s="70" t="n">
        <f aca="false">IFERROR(__xludf.dummyfunction("""COMPUTED_VALUE"""),0)</f>
        <v>0</v>
      </c>
      <c r="AV20" s="70" t="n">
        <f aca="false">IFERROR(__xludf.dummyfunction("""COMPUTED_VALUE"""),0)</f>
        <v>0</v>
      </c>
      <c r="AW20" s="70" t="n">
        <f aca="false">IFERROR(__xludf.dummyfunction("""COMPUTED_VALUE"""),0)</f>
        <v>0</v>
      </c>
      <c r="AX20" s="70" t="n">
        <f aca="false">IFERROR(__xludf.dummyfunction("""COMPUTED_VALUE"""),0)</f>
        <v>0</v>
      </c>
      <c r="AY20" s="70" t="n">
        <f aca="false">IFERROR(__xludf.dummyfunction("""COMPUTED_VALUE"""),0)</f>
        <v>0</v>
      </c>
      <c r="AZ20" s="70" t="n">
        <f aca="false">IFERROR(__xludf.dummyfunction("""COMPUTED_VALUE"""),0)</f>
        <v>0</v>
      </c>
      <c r="BA20" s="70" t="n">
        <f aca="false">IFERROR(__xludf.dummyfunction("""COMPUTED_VALUE"""),0)</f>
        <v>0</v>
      </c>
    </row>
    <row r="21" customFormat="false" ht="15.75" hidden="false" customHeight="false" outlineLevel="0" collapsed="false">
      <c r="A21" s="71" t="str">
        <f aca="false">IFERROR(__xludf.dummyfunction("""COMPUTED_VALUE"""),"census_tract")</f>
        <v>census_tract</v>
      </c>
      <c r="B21" s="72" t="n">
        <f aca="false">IFERROR(__xludf.dummyfunction("""COMPUTED_VALUE"""),33016691)</f>
        <v>33016691</v>
      </c>
      <c r="C21" s="73" t="n">
        <f aca="false">IFERROR(__xludf.dummyfunction("""COMPUTED_VALUE"""),735242)</f>
        <v>735242</v>
      </c>
      <c r="D21" s="70" t="n">
        <f aca="false">IFERROR(__xludf.dummyfunction("""COMPUTED_VALUE"""),89620)</f>
        <v>89620</v>
      </c>
      <c r="E21" s="70" t="n">
        <f aca="false">IFERROR(__xludf.dummyfunction("""COMPUTED_VALUE"""),734643)</f>
        <v>734643</v>
      </c>
      <c r="F21" s="70" t="n">
        <f aca="false">IFERROR(__xludf.dummyfunction("""COMPUTED_VALUE"""),838956)</f>
        <v>838956</v>
      </c>
      <c r="G21" s="70" t="n">
        <f aca="false">IFERROR(__xludf.dummyfunction("""COMPUTED_VALUE"""),2030087)</f>
        <v>2030087</v>
      </c>
      <c r="H21" s="70" t="n">
        <f aca="false">IFERROR(__xludf.dummyfunction("""COMPUTED_VALUE"""),541446)</f>
        <v>541446</v>
      </c>
      <c r="I21" s="70" t="n">
        <f aca="false">IFERROR(__xludf.dummyfunction("""COMPUTED_VALUE"""),182294)</f>
        <v>182294</v>
      </c>
      <c r="J21" s="70" t="n">
        <f aca="false">IFERROR(__xludf.dummyfunction("""COMPUTED_VALUE"""),76776)</f>
        <v>76776</v>
      </c>
      <c r="K21" s="70" t="n">
        <f aca="false">IFERROR(__xludf.dummyfunction("""COMPUTED_VALUE"""),36968)</f>
        <v>36968</v>
      </c>
      <c r="L21" s="70" t="n">
        <f aca="false">IFERROR(__xludf.dummyfunction("""COMPUTED_VALUE"""),2130164)</f>
        <v>2130164</v>
      </c>
      <c r="M21" s="70" t="n">
        <f aca="false">IFERROR(__xludf.dummyfunction("""COMPUTED_VALUE"""),619667)</f>
        <v>619667</v>
      </c>
      <c r="N21" s="70" t="n">
        <f aca="false">IFERROR(__xludf.dummyfunction("""COMPUTED_VALUE"""),105921)</f>
        <v>105921</v>
      </c>
      <c r="O21" s="70" t="n">
        <f aca="false">IFERROR(__xludf.dummyfunction("""COMPUTED_VALUE"""),196601)</f>
        <v>196601</v>
      </c>
      <c r="P21" s="70" t="n">
        <f aca="false">IFERROR(__xludf.dummyfunction("""COMPUTED_VALUE"""),1334194)</f>
        <v>1334194</v>
      </c>
      <c r="Q21" s="70" t="n">
        <f aca="false">IFERROR(__xludf.dummyfunction("""COMPUTED_VALUE"""),952144)</f>
        <v>952144</v>
      </c>
      <c r="R21" s="70" t="n">
        <f aca="false">IFERROR(__xludf.dummyfunction("""COMPUTED_VALUE"""),969818)</f>
        <v>969818</v>
      </c>
      <c r="S21" s="70" t="n">
        <f aca="false">IFERROR(__xludf.dummyfunction("""COMPUTED_VALUE"""),532361)</f>
        <v>532361</v>
      </c>
      <c r="T21" s="70" t="n">
        <f aca="false">IFERROR(__xludf.dummyfunction("""COMPUTED_VALUE"""),360709)</f>
        <v>360709</v>
      </c>
      <c r="U21" s="70" t="n">
        <f aca="false">IFERROR(__xludf.dummyfunction("""COMPUTED_VALUE"""),683426)</f>
        <v>683426</v>
      </c>
      <c r="V21" s="70" t="n">
        <f aca="false">IFERROR(__xludf.dummyfunction("""COMPUTED_VALUE"""),130957)</f>
        <v>130957</v>
      </c>
      <c r="W21" s="70" t="n">
        <f aca="false">IFERROR(__xludf.dummyfunction("""COMPUTED_VALUE"""),266976)</f>
        <v>266976</v>
      </c>
      <c r="X21" s="70" t="n">
        <f aca="false">IFERROR(__xludf.dummyfunction("""COMPUTED_VALUE"""),380838)</f>
        <v>380838</v>
      </c>
      <c r="Y21" s="70" t="n">
        <f aca="false">IFERROR(__xludf.dummyfunction("""COMPUTED_VALUE"""),861269)</f>
        <v>861269</v>
      </c>
      <c r="Z21" s="70" t="n">
        <f aca="false">IFERROR(__xludf.dummyfunction("""COMPUTED_VALUE"""),755722)</f>
        <v>755722</v>
      </c>
      <c r="AA21" s="70" t="n">
        <f aca="false">IFERROR(__xludf.dummyfunction("""COMPUTED_VALUE"""),494624)</f>
        <v>494624</v>
      </c>
      <c r="AB21" s="70" t="n">
        <f aca="false">IFERROR(__xludf.dummyfunction("""COMPUTED_VALUE"""),617190)</f>
        <v>617190</v>
      </c>
      <c r="AC21" s="70" t="n">
        <f aca="false">IFERROR(__xludf.dummyfunction("""COMPUTED_VALUE"""),310013)</f>
        <v>310013</v>
      </c>
      <c r="AD21" s="70" t="n">
        <f aca="false">IFERROR(__xludf.dummyfunction("""COMPUTED_VALUE"""),361618)</f>
        <v>361618</v>
      </c>
      <c r="AE21" s="70" t="n">
        <f aca="false">IFERROR(__xludf.dummyfunction("""COMPUTED_VALUE"""),184537)</f>
        <v>184537</v>
      </c>
      <c r="AF21" s="70" t="n">
        <f aca="false">IFERROR(__xludf.dummyfunction("""COMPUTED_VALUE"""),127317)</f>
        <v>127317</v>
      </c>
      <c r="AG21" s="70" t="n">
        <f aca="false">IFERROR(__xludf.dummyfunction("""COMPUTED_VALUE"""),484754)</f>
        <v>484754</v>
      </c>
      <c r="AH21" s="70" t="n">
        <f aca="false">IFERROR(__xludf.dummyfunction("""COMPUTED_VALUE"""),425731)</f>
        <v>425731</v>
      </c>
      <c r="AI21" s="70" t="n">
        <f aca="false">IFERROR(__xludf.dummyfunction("""COMPUTED_VALUE"""),1240523)</f>
        <v>1240523</v>
      </c>
      <c r="AJ21" s="70" t="n">
        <f aca="false">IFERROR(__xludf.dummyfunction("""COMPUTED_VALUE"""),1094400)</f>
        <v>1094400</v>
      </c>
      <c r="AK21" s="70" t="n">
        <f aca="false">IFERROR(__xludf.dummyfunction("""COMPUTED_VALUE"""),386167)</f>
        <v>386167</v>
      </c>
      <c r="AL21" s="70" t="n">
        <f aca="false">IFERROR(__xludf.dummyfunction("""COMPUTED_VALUE"""),1723441)</f>
        <v>1723441</v>
      </c>
      <c r="AM21" s="70" t="n">
        <f aca="false">IFERROR(__xludf.dummyfunction("""COMPUTED_VALUE"""),452984)</f>
        <v>452984</v>
      </c>
      <c r="AN21" s="70" t="n">
        <f aca="false">IFERROR(__xludf.dummyfunction("""COMPUTED_VALUE"""),450234)</f>
        <v>450234</v>
      </c>
      <c r="AO21" s="70" t="n">
        <f aca="false">IFERROR(__xludf.dummyfunction("""COMPUTED_VALUE"""),1193285)</f>
        <v>1193285</v>
      </c>
      <c r="AP21" s="70" t="n">
        <f aca="false">IFERROR(__xludf.dummyfunction("""COMPUTED_VALUE"""),79666)</f>
        <v>79666</v>
      </c>
      <c r="AQ21" s="70" t="n">
        <f aca="false">IFERROR(__xludf.dummyfunction("""COMPUTED_VALUE"""),599845)</f>
        <v>599845</v>
      </c>
      <c r="AR21" s="70" t="n">
        <f aca="false">IFERROR(__xludf.dummyfunction("""COMPUTED_VALUE"""),298735)</f>
        <v>298735</v>
      </c>
      <c r="AS21" s="70" t="n">
        <f aca="false">IFERROR(__xludf.dummyfunction("""COMPUTED_VALUE"""),462227)</f>
        <v>462227</v>
      </c>
      <c r="AT21" s="70" t="n">
        <f aca="false">IFERROR(__xludf.dummyfunction("""COMPUTED_VALUE"""),3342368)</f>
        <v>3342368</v>
      </c>
      <c r="AU21" s="70" t="n">
        <f aca="false">IFERROR(__xludf.dummyfunction("""COMPUTED_VALUE"""),281120)</f>
        <v>281120</v>
      </c>
      <c r="AV21" s="70" t="n">
        <f aca="false">IFERROR(__xludf.dummyfunction("""COMPUTED_VALUE"""),33744)</f>
        <v>33744</v>
      </c>
      <c r="AW21" s="70" t="n">
        <f aca="false">IFERROR(__xludf.dummyfunction("""COMPUTED_VALUE"""),580496)</f>
        <v>580496</v>
      </c>
      <c r="AX21" s="70" t="n">
        <f aca="false">IFERROR(__xludf.dummyfunction("""COMPUTED_VALUE"""),654530)</f>
        <v>654530</v>
      </c>
      <c r="AY21" s="70" t="n">
        <f aca="false">IFERROR(__xludf.dummyfunction("""COMPUTED_VALUE"""),487835)</f>
        <v>487835</v>
      </c>
      <c r="AZ21" s="70" t="n">
        <f aca="false">IFERROR(__xludf.dummyfunction("""COMPUTED_VALUE"""),1023111)</f>
        <v>1023111</v>
      </c>
      <c r="BA21" s="70" t="n">
        <f aca="false">IFERROR(__xludf.dummyfunction("""COMPUTED_VALUE"""),79397)</f>
        <v>79397</v>
      </c>
    </row>
    <row r="22" customFormat="false" ht="15.75" hidden="false" customHeight="false" outlineLevel="0" collapsed="false">
      <c r="A22" s="71" t="str">
        <f aca="false">IFERROR(__xludf.dummyfunction("""COMPUTED_VALUE"""),"carrier_code")</f>
        <v>carrier_code</v>
      </c>
      <c r="B22" s="72" t="n">
        <f aca="false">IFERROR(__xludf.dummyfunction("""COMPUTED_VALUE"""),7373059)</f>
        <v>7373059</v>
      </c>
      <c r="C22" s="73" t="n">
        <f aca="false">IFERROR(__xludf.dummyfunction("""COMPUTED_VALUE"""),113914)</f>
        <v>113914</v>
      </c>
      <c r="D22" s="70" t="n">
        <f aca="false">IFERROR(__xludf.dummyfunction("""COMPUTED_VALUE"""),16453)</f>
        <v>16453</v>
      </c>
      <c r="E22" s="70" t="n">
        <f aca="false">IFERROR(__xludf.dummyfunction("""COMPUTED_VALUE"""),134142)</f>
        <v>134142</v>
      </c>
      <c r="F22" s="70" t="n">
        <f aca="false">IFERROR(__xludf.dummyfunction("""COMPUTED_VALUE"""),99769)</f>
        <v>99769</v>
      </c>
      <c r="G22" s="70" t="n">
        <f aca="false">IFERROR(__xludf.dummyfunction("""COMPUTED_VALUE"""),655679)</f>
        <v>655679</v>
      </c>
      <c r="H22" s="70" t="n">
        <f aca="false">IFERROR(__xludf.dummyfunction("""COMPUTED_VALUE"""),127702)</f>
        <v>127702</v>
      </c>
      <c r="I22" s="70" t="n">
        <f aca="false">IFERROR(__xludf.dummyfunction("""COMPUTED_VALUE"""),68517)</f>
        <v>68517</v>
      </c>
      <c r="J22" s="70" t="n">
        <f aca="false">IFERROR(__xludf.dummyfunction("""COMPUTED_VALUE"""),21599)</f>
        <v>21599</v>
      </c>
      <c r="K22" s="70" t="n">
        <f aca="false">IFERROR(__xludf.dummyfunction("""COMPUTED_VALUE"""),25296)</f>
        <v>25296</v>
      </c>
      <c r="L22" s="70" t="n">
        <f aca="false">IFERROR(__xludf.dummyfunction("""COMPUTED_VALUE"""),450146)</f>
        <v>450146</v>
      </c>
      <c r="M22" s="70" t="n">
        <f aca="false">IFERROR(__xludf.dummyfunction("""COMPUTED_VALUE"""),202031)</f>
        <v>202031</v>
      </c>
      <c r="N22" s="70" t="n">
        <f aca="false">IFERROR(__xludf.dummyfunction("""COMPUTED_VALUE"""),13583)</f>
        <v>13583</v>
      </c>
      <c r="O22" s="70" t="n">
        <f aca="false">IFERROR(__xludf.dummyfunction("""COMPUTED_VALUE"""),38575)</f>
        <v>38575</v>
      </c>
      <c r="P22" s="70" t="n">
        <f aca="false">IFERROR(__xludf.dummyfunction("""COMPUTED_VALUE"""),349654)</f>
        <v>349654</v>
      </c>
      <c r="Q22" s="70" t="n">
        <f aca="false">IFERROR(__xludf.dummyfunction("""COMPUTED_VALUE"""),167688)</f>
        <v>167688</v>
      </c>
      <c r="R22" s="70" t="n">
        <f aca="false">IFERROR(__xludf.dummyfunction("""COMPUTED_VALUE"""),90344)</f>
        <v>90344</v>
      </c>
      <c r="S22" s="70" t="n">
        <f aca="false">IFERROR(__xludf.dummyfunction("""COMPUTED_VALUE"""),85816)</f>
        <v>85816</v>
      </c>
      <c r="T22" s="70" t="n">
        <f aca="false">IFERROR(__xludf.dummyfunction("""COMPUTED_VALUE"""),121120)</f>
        <v>121120</v>
      </c>
      <c r="U22" s="70" t="n">
        <f aca="false">IFERROR(__xludf.dummyfunction("""COMPUTED_VALUE"""),113615)</f>
        <v>113615</v>
      </c>
      <c r="V22" s="70" t="n">
        <f aca="false">IFERROR(__xludf.dummyfunction("""COMPUTED_VALUE"""),25525)</f>
        <v>25525</v>
      </c>
      <c r="W22" s="70" t="n">
        <f aca="false">IFERROR(__xludf.dummyfunction("""COMPUTED_VALUE"""),78421)</f>
        <v>78421</v>
      </c>
      <c r="X22" s="70" t="n">
        <f aca="false">IFERROR(__xludf.dummyfunction("""COMPUTED_VALUE"""),134360)</f>
        <v>134360</v>
      </c>
      <c r="Y22" s="70" t="n">
        <f aca="false">IFERROR(__xludf.dummyfunction("""COMPUTED_VALUE"""),266374)</f>
        <v>266374</v>
      </c>
      <c r="Z22" s="70" t="n">
        <f aca="false">IFERROR(__xludf.dummyfunction("""COMPUTED_VALUE"""),145769)</f>
        <v>145769</v>
      </c>
      <c r="AA22" s="70" t="n">
        <f aca="false">IFERROR(__xludf.dummyfunction("""COMPUTED_VALUE"""),63521)</f>
        <v>63521</v>
      </c>
      <c r="AB22" s="70" t="n">
        <f aca="false">IFERROR(__xludf.dummyfunction("""COMPUTED_VALUE"""),130078)</f>
        <v>130078</v>
      </c>
      <c r="AC22" s="70" t="n">
        <f aca="false">IFERROR(__xludf.dummyfunction("""COMPUTED_VALUE"""),28342)</f>
        <v>28342</v>
      </c>
      <c r="AD22" s="70" t="n">
        <f aca="false">IFERROR(__xludf.dummyfunction("""COMPUTED_VALUE"""),52631)</f>
        <v>52631</v>
      </c>
      <c r="AE22" s="70" t="n">
        <f aca="false">IFERROR(__xludf.dummyfunction("""COMPUTED_VALUE"""),43131)</f>
        <v>43131</v>
      </c>
      <c r="AF22" s="70" t="n">
        <f aca="false">IFERROR(__xludf.dummyfunction("""COMPUTED_VALUE"""),28581)</f>
        <v>28581</v>
      </c>
      <c r="AG22" s="70" t="n">
        <f aca="false">IFERROR(__xludf.dummyfunction("""COMPUTED_VALUE"""),180817)</f>
        <v>180817</v>
      </c>
      <c r="AH22" s="70" t="n">
        <f aca="false">IFERROR(__xludf.dummyfunction("""COMPUTED_VALUE"""),44450)</f>
        <v>44450</v>
      </c>
      <c r="AI22" s="70" t="n">
        <f aca="false">IFERROR(__xludf.dummyfunction("""COMPUTED_VALUE"""),404959)</f>
        <v>404959</v>
      </c>
      <c r="AJ22" s="70" t="n">
        <f aca="false">IFERROR(__xludf.dummyfunction("""COMPUTED_VALUE"""),255408)</f>
        <v>255408</v>
      </c>
      <c r="AK22" s="70" t="n">
        <f aca="false">IFERROR(__xludf.dummyfunction("""COMPUTED_VALUE"""),31591)</f>
        <v>31591</v>
      </c>
      <c r="AL22" s="70" t="n">
        <f aca="false">IFERROR(__xludf.dummyfunction("""COMPUTED_VALUE"""),356239)</f>
        <v>356239</v>
      </c>
      <c r="AM22" s="70" t="n">
        <f aca="false">IFERROR(__xludf.dummyfunction("""COMPUTED_VALUE"""),83217)</f>
        <v>83217</v>
      </c>
      <c r="AN22" s="70" t="n">
        <f aca="false">IFERROR(__xludf.dummyfunction("""COMPUTED_VALUE"""),123267)</f>
        <v>123267</v>
      </c>
      <c r="AO22" s="70" t="n">
        <f aca="false">IFERROR(__xludf.dummyfunction("""COMPUTED_VALUE"""),355560)</f>
        <v>355560</v>
      </c>
      <c r="AP22" s="70" t="n">
        <f aca="false">IFERROR(__xludf.dummyfunction("""COMPUTED_VALUE"""),24636)</f>
        <v>24636</v>
      </c>
      <c r="AQ22" s="70" t="n">
        <f aca="false">IFERROR(__xludf.dummyfunction("""COMPUTED_VALUE"""),147103)</f>
        <v>147103</v>
      </c>
      <c r="AR22" s="70" t="n">
        <f aca="false">IFERROR(__xludf.dummyfunction("""COMPUTED_VALUE"""),30146)</f>
        <v>30146</v>
      </c>
      <c r="AS22" s="70" t="n">
        <f aca="false">IFERROR(__xludf.dummyfunction("""COMPUTED_VALUE"""),153526)</f>
        <v>153526</v>
      </c>
      <c r="AT22" s="70" t="n">
        <f aca="false">IFERROR(__xludf.dummyfunction("""COMPUTED_VALUE"""),651175)</f>
        <v>651175</v>
      </c>
      <c r="AU22" s="70" t="n">
        <f aca="false">IFERROR(__xludf.dummyfunction("""COMPUTED_VALUE"""),61559)</f>
        <v>61559</v>
      </c>
      <c r="AV22" s="70" t="n">
        <f aca="false">IFERROR(__xludf.dummyfunction("""COMPUTED_VALUE"""),15147)</f>
        <v>15147</v>
      </c>
      <c r="AW22" s="70" t="n">
        <f aca="false">IFERROR(__xludf.dummyfunction("""COMPUTED_VALUE"""),164693)</f>
        <v>164693</v>
      </c>
      <c r="AX22" s="70" t="n">
        <f aca="false">IFERROR(__xludf.dummyfunction("""COMPUTED_VALUE"""),144629)</f>
        <v>144629</v>
      </c>
      <c r="AY22" s="70" t="n">
        <f aca="false">IFERROR(__xludf.dummyfunction("""COMPUTED_VALUE"""),35886)</f>
        <v>35886</v>
      </c>
      <c r="AZ22" s="70" t="n">
        <f aca="false">IFERROR(__xludf.dummyfunction("""COMPUTED_VALUE"""),199172)</f>
        <v>199172</v>
      </c>
      <c r="BA22" s="70" t="n">
        <f aca="false">IFERROR(__xludf.dummyfunction("""COMPUTED_VALUE"""),17503)</f>
        <v>17503</v>
      </c>
    </row>
    <row r="23" customFormat="false" ht="15.75" hidden="false" customHeight="false" outlineLevel="0" collapsed="false">
      <c r="B23" s="59"/>
      <c r="C23" s="60"/>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row>
    <row r="24" customFormat="false" ht="15.75" hidden="false" customHeight="false" outlineLevel="0" collapsed="false">
      <c r="A24" s="74" t="s">
        <v>1811</v>
      </c>
      <c r="B24" s="63"/>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row>
    <row r="25" customFormat="false" ht="15.75" hidden="false" customHeight="false" outlineLevel="0" collapsed="false">
      <c r="A25" s="75" t="str">
        <f aca="false">IFERROR(__xludf.dummyfunction("TRANSPOSE(IMPORTRANGE(""https://docs.google.com/spreadsheets/d/1GKhz9pSyUWFf4Xrp7ACbjr4UA3dMq6VxKG1OCLWM9yA"", ""'Parcels'!F4:Z56""))"),"apn_unformatted")</f>
        <v>apn_unformatted</v>
      </c>
      <c r="B25" s="56" t="n">
        <f aca="false">IFERROR(__xludf.dummyfunction("""COMPUTED_VALUE"""),36682571)</f>
        <v>36682571</v>
      </c>
      <c r="C25" s="76" t="n">
        <f aca="false">IFERROR(__xludf.dummyfunction("""COMPUTED_VALUE"""),820653)</f>
        <v>820653</v>
      </c>
      <c r="D25" s="77" t="n">
        <f aca="false">IFERROR(__xludf.dummyfunction("""COMPUTED_VALUE"""),174092)</f>
        <v>174092</v>
      </c>
      <c r="E25" s="77" t="n">
        <f aca="false">IFERROR(__xludf.dummyfunction("""COMPUTED_VALUE"""),861527)</f>
        <v>861527</v>
      </c>
      <c r="F25" s="77" t="n">
        <f aca="false">IFERROR(__xludf.dummyfunction("""COMPUTED_VALUE"""),979079)</f>
        <v>979079</v>
      </c>
      <c r="G25" s="77" t="n">
        <f aca="false">IFERROR(__xludf.dummyfunction("""COMPUTED_VALUE"""),2299041)</f>
        <v>2299041</v>
      </c>
      <c r="H25" s="77" t="n">
        <f aca="false">IFERROR(__xludf.dummyfunction("""COMPUTED_VALUE"""),634643)</f>
        <v>634643</v>
      </c>
      <c r="I25" s="77" t="n">
        <f aca="false">IFERROR(__xludf.dummyfunction("""COMPUTED_VALUE"""),182378)</f>
        <v>182378</v>
      </c>
      <c r="J25" s="77" t="n">
        <f aca="false">IFERROR(__xludf.dummyfunction("""COMPUTED_VALUE"""),78259)</f>
        <v>78259</v>
      </c>
      <c r="K25" s="77" t="n">
        <f aca="false">IFERROR(__xludf.dummyfunction("""COMPUTED_VALUE"""),37808)</f>
        <v>37808</v>
      </c>
      <c r="L25" s="77" t="n">
        <f aca="false">IFERROR(__xludf.dummyfunction("""COMPUTED_VALUE"""),2202410)</f>
        <v>2202410</v>
      </c>
      <c r="M25" s="77" t="n">
        <f aca="false">IFERROR(__xludf.dummyfunction("""COMPUTED_VALUE"""),654323)</f>
        <v>654323</v>
      </c>
      <c r="N25" s="77" t="n">
        <f aca="false">IFERROR(__xludf.dummyfunction("""COMPUTED_VALUE"""),122780)</f>
        <v>122780</v>
      </c>
      <c r="O25" s="77" t="n">
        <f aca="false">IFERROR(__xludf.dummyfunction("""COMPUTED_VALUE"""),241326)</f>
        <v>241326</v>
      </c>
      <c r="P25" s="77" t="n">
        <f aca="false">IFERROR(__xludf.dummyfunction("""COMPUTED_VALUE"""),1450322)</f>
        <v>1450322</v>
      </c>
      <c r="Q25" s="77" t="n">
        <f aca="false">IFERROR(__xludf.dummyfunction("""COMPUTED_VALUE"""),974792)</f>
        <v>974792</v>
      </c>
      <c r="R25" s="77" t="n">
        <f aca="false">IFERROR(__xludf.dummyfunction("""COMPUTED_VALUE"""),1057394)</f>
        <v>1057394</v>
      </c>
      <c r="S25" s="77" t="n">
        <f aca="false">IFERROR(__xludf.dummyfunction("""COMPUTED_VALUE"""),552322)</f>
        <v>552322</v>
      </c>
      <c r="T25" s="77" t="n">
        <f aca="false">IFERROR(__xludf.dummyfunction("""COMPUTED_VALUE"""),389342)</f>
        <v>389342</v>
      </c>
      <c r="U25" s="77" t="n">
        <f aca="false">IFERROR(__xludf.dummyfunction("""COMPUTED_VALUE"""),737673)</f>
        <v>737673</v>
      </c>
      <c r="V25" s="77" t="n">
        <f aca="false">IFERROR(__xludf.dummyfunction("""COMPUTED_VALUE"""),133130)</f>
        <v>133130</v>
      </c>
      <c r="W25" s="77" t="n">
        <f aca="false">IFERROR(__xludf.dummyfunction("""COMPUTED_VALUE"""),276303)</f>
        <v>276303</v>
      </c>
      <c r="X25" s="77" t="n">
        <f aca="false">IFERROR(__xludf.dummyfunction("""COMPUTED_VALUE"""),381012)</f>
        <v>381012</v>
      </c>
      <c r="Y25" s="77" t="n">
        <f aca="false">IFERROR(__xludf.dummyfunction("""COMPUTED_VALUE"""),900208)</f>
        <v>900208</v>
      </c>
      <c r="Z25" s="77" t="n">
        <f aca="false">IFERROR(__xludf.dummyfunction("""COMPUTED_VALUE"""),871819)</f>
        <v>871819</v>
      </c>
      <c r="AA25" s="77" t="n">
        <f aca="false">IFERROR(__xludf.dummyfunction("""COMPUTED_VALUE"""),556989)</f>
        <v>556989</v>
      </c>
      <c r="AB25" s="77" t="n">
        <f aca="false">IFERROR(__xludf.dummyfunction("""COMPUTED_VALUE"""),703354)</f>
        <v>703354</v>
      </c>
      <c r="AC25" s="77" t="n">
        <f aca="false">IFERROR(__xludf.dummyfunction("""COMPUTED_VALUE"""),441549)</f>
        <v>441549</v>
      </c>
      <c r="AD25" s="77" t="n">
        <f aca="false">IFERROR(__xludf.dummyfunction("""COMPUTED_VALUE"""),411376)</f>
        <v>411376</v>
      </c>
      <c r="AE25" s="77" t="n">
        <f aca="false">IFERROR(__xludf.dummyfunction("""COMPUTED_VALUE"""),229040)</f>
        <v>229040</v>
      </c>
      <c r="AF25" s="77" t="n">
        <f aca="false">IFERROR(__xludf.dummyfunction("""COMPUTED_VALUE"""),128060)</f>
        <v>128060</v>
      </c>
      <c r="AG25" s="77" t="n">
        <f aca="false">IFERROR(__xludf.dummyfunction("""COMPUTED_VALUE"""),516774)</f>
        <v>516774</v>
      </c>
      <c r="AH25" s="77" t="n">
        <f aca="false">IFERROR(__xludf.dummyfunction("""COMPUTED_VALUE"""),612828)</f>
        <v>612828</v>
      </c>
      <c r="AI25" s="77" t="n">
        <f aca="false">IFERROR(__xludf.dummyfunction("""COMPUTED_VALUE"""),1261183)</f>
        <v>1261183</v>
      </c>
      <c r="AJ25" s="77" t="n">
        <f aca="false">IFERROR(__xludf.dummyfunction("""COMPUTED_VALUE"""),1155933)</f>
        <v>1155933</v>
      </c>
      <c r="AK25" s="77" t="n">
        <f aca="false">IFERROR(__xludf.dummyfunction("""COMPUTED_VALUE"""),459504)</f>
        <v>459504</v>
      </c>
      <c r="AL25" s="77" t="n">
        <f aca="false">IFERROR(__xludf.dummyfunction("""COMPUTED_VALUE"""),1812793)</f>
        <v>1812793</v>
      </c>
      <c r="AM25" s="77" t="n">
        <f aca="false">IFERROR(__xludf.dummyfunction("""COMPUTED_VALUE"""),602771)</f>
        <v>602771</v>
      </c>
      <c r="AN25" s="77" t="n">
        <f aca="false">IFERROR(__xludf.dummyfunction("""COMPUTED_VALUE"""),491384)</f>
        <v>491384</v>
      </c>
      <c r="AO25" s="77" t="n">
        <f aca="false">IFERROR(__xludf.dummyfunction("""COMPUTED_VALUE"""),1255616)</f>
        <v>1255616</v>
      </c>
      <c r="AP25" s="77" t="n">
        <f aca="false">IFERROR(__xludf.dummyfunction("""COMPUTED_VALUE"""),79678)</f>
        <v>79678</v>
      </c>
      <c r="AQ25" s="77" t="n">
        <f aca="false">IFERROR(__xludf.dummyfunction("""COMPUTED_VALUE"""),628145)</f>
        <v>628145</v>
      </c>
      <c r="AR25" s="77" t="n">
        <f aca="false">IFERROR(__xludf.dummyfunction("""COMPUTED_VALUE"""),358147)</f>
        <v>358147</v>
      </c>
      <c r="AS25" s="77" t="n">
        <f aca="false">IFERROR(__xludf.dummyfunction("""COMPUTED_VALUE"""),483209)</f>
        <v>483209</v>
      </c>
      <c r="AT25" s="77" t="n">
        <f aca="false">IFERROR(__xludf.dummyfunction("""COMPUTED_VALUE"""),3881842)</f>
        <v>3881842</v>
      </c>
      <c r="AU25" s="77" t="n">
        <f aca="false">IFERROR(__xludf.dummyfunction("""COMPUTED_VALUE"""),357726)</f>
        <v>357726</v>
      </c>
      <c r="AV25" s="77" t="n">
        <f aca="false">IFERROR(__xludf.dummyfunction("""COMPUTED_VALUE"""),34759)</f>
        <v>34759</v>
      </c>
      <c r="AW25" s="77" t="n">
        <f aca="false">IFERROR(__xludf.dummyfunction("""COMPUTED_VALUE"""),607748)</f>
        <v>607748</v>
      </c>
      <c r="AX25" s="77" t="n">
        <f aca="false">IFERROR(__xludf.dummyfunction("""COMPUTED_VALUE"""),704022)</f>
        <v>704022</v>
      </c>
      <c r="AY25" s="77" t="n">
        <f aca="false">IFERROR(__xludf.dummyfunction("""COMPUTED_VALUE"""),668634)</f>
        <v>668634</v>
      </c>
      <c r="AZ25" s="77" t="n">
        <f aca="false">IFERROR(__xludf.dummyfunction("""COMPUTED_VALUE"""),1125704)</f>
        <v>1125704</v>
      </c>
      <c r="BA25" s="77" t="n">
        <f aca="false">IFERROR(__xludf.dummyfunction("""COMPUTED_VALUE"""),101167)</f>
        <v>101167</v>
      </c>
    </row>
    <row r="26" customFormat="false" ht="15.75" hidden="false" customHeight="false" outlineLevel="0" collapsed="false">
      <c r="A26" s="71" t="str">
        <f aca="false">IFERROR(__xludf.dummyfunction("""COMPUTED_VALUE"""),"apn_previous")</f>
        <v>apn_previous</v>
      </c>
      <c r="B26" s="72" t="n">
        <f aca="false">IFERROR(__xludf.dummyfunction("""COMPUTED_VALUE"""),0)</f>
        <v>0</v>
      </c>
      <c r="C26" s="73" t="n">
        <f aca="false">IFERROR(__xludf.dummyfunction("""COMPUTED_VALUE"""),0)</f>
        <v>0</v>
      </c>
      <c r="D26" s="70" t="n">
        <f aca="false">IFERROR(__xludf.dummyfunction("""COMPUTED_VALUE"""),0)</f>
        <v>0</v>
      </c>
      <c r="E26" s="70" t="n">
        <f aca="false">IFERROR(__xludf.dummyfunction("""COMPUTED_VALUE"""),0)</f>
        <v>0</v>
      </c>
      <c r="F26" s="70" t="n">
        <f aca="false">IFERROR(__xludf.dummyfunction("""COMPUTED_VALUE"""),0)</f>
        <v>0</v>
      </c>
      <c r="G26" s="70" t="n">
        <f aca="false">IFERROR(__xludf.dummyfunction("""COMPUTED_VALUE"""),0)</f>
        <v>0</v>
      </c>
      <c r="H26" s="70" t="n">
        <f aca="false">IFERROR(__xludf.dummyfunction("""COMPUTED_VALUE"""),0)</f>
        <v>0</v>
      </c>
      <c r="I26" s="70" t="n">
        <f aca="false">IFERROR(__xludf.dummyfunction("""COMPUTED_VALUE"""),0)</f>
        <v>0</v>
      </c>
      <c r="J26" s="70" t="n">
        <f aca="false">IFERROR(__xludf.dummyfunction("""COMPUTED_VALUE"""),0)</f>
        <v>0</v>
      </c>
      <c r="K26" s="70" t="n">
        <f aca="false">IFERROR(__xludf.dummyfunction("""COMPUTED_VALUE"""),0)</f>
        <v>0</v>
      </c>
      <c r="L26" s="70" t="n">
        <f aca="false">IFERROR(__xludf.dummyfunction("""COMPUTED_VALUE"""),0)</f>
        <v>0</v>
      </c>
      <c r="M26" s="70" t="n">
        <f aca="false">IFERROR(__xludf.dummyfunction("""COMPUTED_VALUE"""),0)</f>
        <v>0</v>
      </c>
      <c r="N26" s="70" t="n">
        <f aca="false">IFERROR(__xludf.dummyfunction("""COMPUTED_VALUE"""),0)</f>
        <v>0</v>
      </c>
      <c r="O26" s="70" t="n">
        <f aca="false">IFERROR(__xludf.dummyfunction("""COMPUTED_VALUE"""),0)</f>
        <v>0</v>
      </c>
      <c r="P26" s="70" t="n">
        <f aca="false">IFERROR(__xludf.dummyfunction("""COMPUTED_VALUE"""),0)</f>
        <v>0</v>
      </c>
      <c r="Q26" s="70" t="n">
        <f aca="false">IFERROR(__xludf.dummyfunction("""COMPUTED_VALUE"""),0)</f>
        <v>0</v>
      </c>
      <c r="R26" s="70" t="n">
        <f aca="false">IFERROR(__xludf.dummyfunction("""COMPUTED_VALUE"""),0)</f>
        <v>0</v>
      </c>
      <c r="S26" s="70" t="n">
        <f aca="false">IFERROR(__xludf.dummyfunction("""COMPUTED_VALUE"""),0)</f>
        <v>0</v>
      </c>
      <c r="T26" s="70" t="n">
        <f aca="false">IFERROR(__xludf.dummyfunction("""COMPUTED_VALUE"""),0)</f>
        <v>0</v>
      </c>
      <c r="U26" s="70" t="n">
        <f aca="false">IFERROR(__xludf.dummyfunction("""COMPUTED_VALUE"""),0)</f>
        <v>0</v>
      </c>
      <c r="V26" s="70" t="n">
        <f aca="false">IFERROR(__xludf.dummyfunction("""COMPUTED_VALUE"""),0)</f>
        <v>0</v>
      </c>
      <c r="W26" s="70" t="n">
        <f aca="false">IFERROR(__xludf.dummyfunction("""COMPUTED_VALUE"""),0)</f>
        <v>0</v>
      </c>
      <c r="X26" s="70" t="n">
        <f aca="false">IFERROR(__xludf.dummyfunction("""COMPUTED_VALUE"""),0)</f>
        <v>0</v>
      </c>
      <c r="Y26" s="70" t="n">
        <f aca="false">IFERROR(__xludf.dummyfunction("""COMPUTED_VALUE"""),0)</f>
        <v>0</v>
      </c>
      <c r="Z26" s="70" t="n">
        <f aca="false">IFERROR(__xludf.dummyfunction("""COMPUTED_VALUE"""),0)</f>
        <v>0</v>
      </c>
      <c r="AA26" s="70" t="n">
        <f aca="false">IFERROR(__xludf.dummyfunction("""COMPUTED_VALUE"""),0)</f>
        <v>0</v>
      </c>
      <c r="AB26" s="70" t="n">
        <f aca="false">IFERROR(__xludf.dummyfunction("""COMPUTED_VALUE"""),0)</f>
        <v>0</v>
      </c>
      <c r="AC26" s="70" t="n">
        <f aca="false">IFERROR(__xludf.dummyfunction("""COMPUTED_VALUE"""),0)</f>
        <v>0</v>
      </c>
      <c r="AD26" s="70" t="n">
        <f aca="false">IFERROR(__xludf.dummyfunction("""COMPUTED_VALUE"""),0)</f>
        <v>0</v>
      </c>
      <c r="AE26" s="70" t="n">
        <f aca="false">IFERROR(__xludf.dummyfunction("""COMPUTED_VALUE"""),0)</f>
        <v>0</v>
      </c>
      <c r="AF26" s="70" t="n">
        <f aca="false">IFERROR(__xludf.dummyfunction("""COMPUTED_VALUE"""),0)</f>
        <v>0</v>
      </c>
      <c r="AG26" s="70" t="n">
        <f aca="false">IFERROR(__xludf.dummyfunction("""COMPUTED_VALUE"""),0)</f>
        <v>0</v>
      </c>
      <c r="AH26" s="70" t="n">
        <f aca="false">IFERROR(__xludf.dummyfunction("""COMPUTED_VALUE"""),0)</f>
        <v>0</v>
      </c>
      <c r="AI26" s="70" t="n">
        <f aca="false">IFERROR(__xludf.dummyfunction("""COMPUTED_VALUE"""),0)</f>
        <v>0</v>
      </c>
      <c r="AJ26" s="70" t="n">
        <f aca="false">IFERROR(__xludf.dummyfunction("""COMPUTED_VALUE"""),0)</f>
        <v>0</v>
      </c>
      <c r="AK26" s="70" t="n">
        <f aca="false">IFERROR(__xludf.dummyfunction("""COMPUTED_VALUE"""),0)</f>
        <v>0</v>
      </c>
      <c r="AL26" s="70" t="n">
        <f aca="false">IFERROR(__xludf.dummyfunction("""COMPUTED_VALUE"""),0)</f>
        <v>0</v>
      </c>
      <c r="AM26" s="70" t="n">
        <f aca="false">IFERROR(__xludf.dummyfunction("""COMPUTED_VALUE"""),0)</f>
        <v>0</v>
      </c>
      <c r="AN26" s="70" t="n">
        <f aca="false">IFERROR(__xludf.dummyfunction("""COMPUTED_VALUE"""),0)</f>
        <v>0</v>
      </c>
      <c r="AO26" s="70" t="n">
        <f aca="false">IFERROR(__xludf.dummyfunction("""COMPUTED_VALUE"""),0)</f>
        <v>0</v>
      </c>
      <c r="AP26" s="70" t="n">
        <f aca="false">IFERROR(__xludf.dummyfunction("""COMPUTED_VALUE"""),0)</f>
        <v>0</v>
      </c>
      <c r="AQ26" s="70" t="n">
        <f aca="false">IFERROR(__xludf.dummyfunction("""COMPUTED_VALUE"""),0)</f>
        <v>0</v>
      </c>
      <c r="AR26" s="70" t="n">
        <f aca="false">IFERROR(__xludf.dummyfunction("""COMPUTED_VALUE"""),0)</f>
        <v>0</v>
      </c>
      <c r="AS26" s="70" t="n">
        <f aca="false">IFERROR(__xludf.dummyfunction("""COMPUTED_VALUE"""),0)</f>
        <v>0</v>
      </c>
      <c r="AT26" s="70" t="n">
        <f aca="false">IFERROR(__xludf.dummyfunction("""COMPUTED_VALUE"""),0)</f>
        <v>0</v>
      </c>
      <c r="AU26" s="70" t="n">
        <f aca="false">IFERROR(__xludf.dummyfunction("""COMPUTED_VALUE"""),0)</f>
        <v>0</v>
      </c>
      <c r="AV26" s="70" t="n">
        <f aca="false">IFERROR(__xludf.dummyfunction("""COMPUTED_VALUE"""),0)</f>
        <v>0</v>
      </c>
      <c r="AW26" s="70" t="n">
        <f aca="false">IFERROR(__xludf.dummyfunction("""COMPUTED_VALUE"""),0)</f>
        <v>0</v>
      </c>
      <c r="AX26" s="70" t="n">
        <f aca="false">IFERROR(__xludf.dummyfunction("""COMPUTED_VALUE"""),0)</f>
        <v>0</v>
      </c>
      <c r="AY26" s="70" t="n">
        <f aca="false">IFERROR(__xludf.dummyfunction("""COMPUTED_VALUE"""),0)</f>
        <v>0</v>
      </c>
      <c r="AZ26" s="70" t="n">
        <f aca="false">IFERROR(__xludf.dummyfunction("""COMPUTED_VALUE"""),0)</f>
        <v>0</v>
      </c>
      <c r="BA26" s="70" t="n">
        <f aca="false">IFERROR(__xludf.dummyfunction("""COMPUTED_VALUE"""),0)</f>
        <v>0</v>
      </c>
    </row>
    <row r="27" customFormat="false" ht="15.75" hidden="false" customHeight="false" outlineLevel="0" collapsed="false">
      <c r="A27" s="71" t="str">
        <f aca="false">IFERROR(__xludf.dummyfunction("""COMPUTED_VALUE"""),"frontage_ft")</f>
        <v>frontage_ft</v>
      </c>
      <c r="B27" s="72" t="n">
        <f aca="false">IFERROR(__xludf.dummyfunction("""COMPUTED_VALUE"""),5696289)</f>
        <v>5696289</v>
      </c>
      <c r="C27" s="73" t="n">
        <f aca="false">IFERROR(__xludf.dummyfunction("""COMPUTED_VALUE"""),186042)</f>
        <v>186042</v>
      </c>
      <c r="D27" s="70" t="n">
        <f aca="false">IFERROR(__xludf.dummyfunction("""COMPUTED_VALUE"""),49)</f>
        <v>49</v>
      </c>
      <c r="E27" s="70" t="n">
        <f aca="false">IFERROR(__xludf.dummyfunction("""COMPUTED_VALUE"""),62)</f>
        <v>62</v>
      </c>
      <c r="F27" s="70" t="n">
        <f aca="false">IFERROR(__xludf.dummyfunction("""COMPUTED_VALUE"""),13302)</f>
        <v>13302</v>
      </c>
      <c r="G27" s="70" t="n">
        <f aca="false">IFERROR(__xludf.dummyfunction("""COMPUTED_VALUE"""),163580)</f>
        <v>163580</v>
      </c>
      <c r="H27" s="70" t="n">
        <f aca="false">IFERROR(__xludf.dummyfunction("""COMPUTED_VALUE"""),14866)</f>
        <v>14866</v>
      </c>
      <c r="I27" s="70" t="n">
        <f aca="false">IFERROR(__xludf.dummyfunction("""COMPUTED_VALUE"""),0)</f>
        <v>0</v>
      </c>
      <c r="J27" s="70" t="n">
        <f aca="false">IFERROR(__xludf.dummyfunction("""COMPUTED_VALUE"""),34986)</f>
        <v>34986</v>
      </c>
      <c r="K27" s="70" t="n">
        <f aca="false">IFERROR(__xludf.dummyfunction("""COMPUTED_VALUE"""),0)</f>
        <v>0</v>
      </c>
      <c r="L27" s="70" t="n">
        <f aca="false">IFERROR(__xludf.dummyfunction("""COMPUTED_VALUE"""),746169)</f>
        <v>746169</v>
      </c>
      <c r="M27" s="70" t="n">
        <f aca="false">IFERROR(__xludf.dummyfunction("""COMPUTED_VALUE"""),94906)</f>
        <v>94906</v>
      </c>
      <c r="N27" s="70" t="n">
        <f aca="false">IFERROR(__xludf.dummyfunction("""COMPUTED_VALUE"""),0)</f>
        <v>0</v>
      </c>
      <c r="O27" s="70" t="n">
        <f aca="false">IFERROR(__xludf.dummyfunction("""COMPUTED_VALUE"""),4925)</f>
        <v>4925</v>
      </c>
      <c r="P27" s="70" t="n">
        <f aca="false">IFERROR(__xludf.dummyfunction("""COMPUTED_VALUE"""),114995)</f>
        <v>114995</v>
      </c>
      <c r="Q27" s="70" t="n">
        <f aca="false">IFERROR(__xludf.dummyfunction("""COMPUTED_VALUE"""),253028)</f>
        <v>253028</v>
      </c>
      <c r="R27" s="70" t="n">
        <f aca="false">IFERROR(__xludf.dummyfunction("""COMPUTED_VALUE"""),42215)</f>
        <v>42215</v>
      </c>
      <c r="S27" s="70" t="n">
        <f aca="false">IFERROR(__xludf.dummyfunction("""COMPUTED_VALUE"""),152548)</f>
        <v>152548</v>
      </c>
      <c r="T27" s="70" t="n">
        <f aca="false">IFERROR(__xludf.dummyfunction("""COMPUTED_VALUE"""),28210)</f>
        <v>28210</v>
      </c>
      <c r="U27" s="70" t="n">
        <f aca="false">IFERROR(__xludf.dummyfunction("""COMPUTED_VALUE"""),38225)</f>
        <v>38225</v>
      </c>
      <c r="V27" s="70" t="n">
        <f aca="false">IFERROR(__xludf.dummyfunction("""COMPUTED_VALUE"""),0)</f>
        <v>0</v>
      </c>
      <c r="W27" s="70" t="n">
        <f aca="false">IFERROR(__xludf.dummyfunction("""COMPUTED_VALUE"""),55983)</f>
        <v>55983</v>
      </c>
      <c r="X27" s="70" t="n">
        <f aca="false">IFERROR(__xludf.dummyfunction("""COMPUTED_VALUE"""),0)</f>
        <v>0</v>
      </c>
      <c r="Y27" s="70" t="n">
        <f aca="false">IFERROR(__xludf.dummyfunction("""COMPUTED_VALUE"""),175882)</f>
        <v>175882</v>
      </c>
      <c r="Z27" s="70" t="n">
        <f aca="false">IFERROR(__xludf.dummyfunction("""COMPUTED_VALUE"""),37672)</f>
        <v>37672</v>
      </c>
      <c r="AA27" s="70" t="n">
        <f aca="false">IFERROR(__xludf.dummyfunction("""COMPUTED_VALUE"""),52629)</f>
        <v>52629</v>
      </c>
      <c r="AB27" s="70" t="n">
        <f aca="false">IFERROR(__xludf.dummyfunction("""COMPUTED_VALUE"""),129424)</f>
        <v>129424</v>
      </c>
      <c r="AC27" s="70" t="n">
        <f aca="false">IFERROR(__xludf.dummyfunction("""COMPUTED_VALUE"""),19719)</f>
        <v>19719</v>
      </c>
      <c r="AD27" s="70" t="n">
        <f aca="false">IFERROR(__xludf.dummyfunction("""COMPUTED_VALUE"""),40902)</f>
        <v>40902</v>
      </c>
      <c r="AE27" s="70" t="n">
        <f aca="false">IFERROR(__xludf.dummyfunction("""COMPUTED_VALUE"""),987)</f>
        <v>987</v>
      </c>
      <c r="AF27" s="70" t="n">
        <f aca="false">IFERROR(__xludf.dummyfunction("""COMPUTED_VALUE"""),0)</f>
        <v>0</v>
      </c>
      <c r="AG27" s="70" t="n">
        <f aca="false">IFERROR(__xludf.dummyfunction("""COMPUTED_VALUE"""),278086)</f>
        <v>278086</v>
      </c>
      <c r="AH27" s="70" t="n">
        <f aca="false">IFERROR(__xludf.dummyfunction("""COMPUTED_VALUE"""),24185)</f>
        <v>24185</v>
      </c>
      <c r="AI27" s="70" t="n">
        <f aca="false">IFERROR(__xludf.dummyfunction("""COMPUTED_VALUE"""),635957)</f>
        <v>635957</v>
      </c>
      <c r="AJ27" s="70" t="n">
        <f aca="false">IFERROR(__xludf.dummyfunction("""COMPUTED_VALUE"""),157962)</f>
        <v>157962</v>
      </c>
      <c r="AK27" s="70" t="n">
        <f aca="false">IFERROR(__xludf.dummyfunction("""COMPUTED_VALUE"""),14994)</f>
        <v>14994</v>
      </c>
      <c r="AL27" s="70" t="n">
        <f aca="false">IFERROR(__xludf.dummyfunction("""COMPUTED_VALUE"""),659763)</f>
        <v>659763</v>
      </c>
      <c r="AM27" s="70" t="n">
        <f aca="false">IFERROR(__xludf.dummyfunction("""COMPUTED_VALUE"""),66515)</f>
        <v>66515</v>
      </c>
      <c r="AN27" s="70" t="n">
        <f aca="false">IFERROR(__xludf.dummyfunction("""COMPUTED_VALUE"""),4105)</f>
        <v>4105</v>
      </c>
      <c r="AO27" s="70" t="n">
        <f aca="false">IFERROR(__xludf.dummyfunction("""COMPUTED_VALUE"""),428478)</f>
        <v>428478</v>
      </c>
      <c r="AP27" s="70" t="n">
        <f aca="false">IFERROR(__xludf.dummyfunction("""COMPUTED_VALUE"""),0)</f>
        <v>0</v>
      </c>
      <c r="AQ27" s="70" t="n">
        <f aca="false">IFERROR(__xludf.dummyfunction("""COMPUTED_VALUE"""),62591)</f>
        <v>62591</v>
      </c>
      <c r="AR27" s="70" t="n">
        <f aca="false">IFERROR(__xludf.dummyfunction("""COMPUTED_VALUE"""),13229)</f>
        <v>13229</v>
      </c>
      <c r="AS27" s="70" t="n">
        <f aca="false">IFERROR(__xludf.dummyfunction("""COMPUTED_VALUE"""),190723)</f>
        <v>190723</v>
      </c>
      <c r="AT27" s="70" t="n">
        <f aca="false">IFERROR(__xludf.dummyfunction("""COMPUTED_VALUE"""),588201)</f>
        <v>588201</v>
      </c>
      <c r="AU27" s="70" t="n">
        <f aca="false">IFERROR(__xludf.dummyfunction("""COMPUTED_VALUE"""),15269)</f>
        <v>15269</v>
      </c>
      <c r="AV27" s="70" t="n">
        <f aca="false">IFERROR(__xludf.dummyfunction("""COMPUTED_VALUE"""),11)</f>
        <v>11</v>
      </c>
      <c r="AW27" s="70" t="n">
        <f aca="false">IFERROR(__xludf.dummyfunction("""COMPUTED_VALUE"""),43458)</f>
        <v>43458</v>
      </c>
      <c r="AX27" s="70" t="n">
        <f aca="false">IFERROR(__xludf.dummyfunction("""COMPUTED_VALUE"""),70556)</f>
        <v>70556</v>
      </c>
      <c r="AY27" s="70" t="n">
        <f aca="false">IFERROR(__xludf.dummyfunction("""COMPUTED_VALUE"""),28856)</f>
        <v>28856</v>
      </c>
      <c r="AZ27" s="70" t="n">
        <f aca="false">IFERROR(__xludf.dummyfunction("""COMPUTED_VALUE"""),11756)</f>
        <v>11756</v>
      </c>
      <c r="BA27" s="70" t="n">
        <f aca="false">IFERROR(__xludf.dummyfunction("""COMPUTED_VALUE"""),288)</f>
        <v>288</v>
      </c>
    </row>
    <row r="28" customFormat="false" ht="15.75" hidden="false" customHeight="false" outlineLevel="0" collapsed="false">
      <c r="A28" s="71" t="str">
        <f aca="false">IFERROR(__xludf.dummyfunction("""COMPUTED_VALUE"""),"depth_ft")</f>
        <v>depth_ft</v>
      </c>
      <c r="B28" s="72" t="n">
        <f aca="false">IFERROR(__xludf.dummyfunction("""COMPUTED_VALUE"""),5320883)</f>
        <v>5320883</v>
      </c>
      <c r="C28" s="73" t="n">
        <f aca="false">IFERROR(__xludf.dummyfunction("""COMPUTED_VALUE"""),185800)</f>
        <v>185800</v>
      </c>
      <c r="D28" s="70" t="n">
        <f aca="false">IFERROR(__xludf.dummyfunction("""COMPUTED_VALUE"""),49)</f>
        <v>49</v>
      </c>
      <c r="E28" s="70" t="n">
        <f aca="false">IFERROR(__xludf.dummyfunction("""COMPUTED_VALUE"""),62)</f>
        <v>62</v>
      </c>
      <c r="F28" s="70" t="n">
        <f aca="false">IFERROR(__xludf.dummyfunction("""COMPUTED_VALUE"""),13299)</f>
        <v>13299</v>
      </c>
      <c r="G28" s="70" t="n">
        <f aca="false">IFERROR(__xludf.dummyfunction("""COMPUTED_VALUE"""),129714)</f>
        <v>129714</v>
      </c>
      <c r="H28" s="70" t="n">
        <f aca="false">IFERROR(__xludf.dummyfunction("""COMPUTED_VALUE"""),14728)</f>
        <v>14728</v>
      </c>
      <c r="I28" s="70" t="n">
        <f aca="false">IFERROR(__xludf.dummyfunction("""COMPUTED_VALUE"""),0)</f>
        <v>0</v>
      </c>
      <c r="J28" s="70" t="n">
        <f aca="false">IFERROR(__xludf.dummyfunction("""COMPUTED_VALUE"""),34829)</f>
        <v>34829</v>
      </c>
      <c r="K28" s="70" t="n">
        <f aca="false">IFERROR(__xludf.dummyfunction("""COMPUTED_VALUE"""),0)</f>
        <v>0</v>
      </c>
      <c r="L28" s="70" t="n">
        <f aca="false">IFERROR(__xludf.dummyfunction("""COMPUTED_VALUE"""),694357)</f>
        <v>694357</v>
      </c>
      <c r="M28" s="70" t="n">
        <f aca="false">IFERROR(__xludf.dummyfunction("""COMPUTED_VALUE"""),86475)</f>
        <v>86475</v>
      </c>
      <c r="N28" s="70" t="n">
        <f aca="false">IFERROR(__xludf.dummyfunction("""COMPUTED_VALUE"""),0)</f>
        <v>0</v>
      </c>
      <c r="O28" s="70" t="n">
        <f aca="false">IFERROR(__xludf.dummyfunction("""COMPUTED_VALUE"""),3477)</f>
        <v>3477</v>
      </c>
      <c r="P28" s="70" t="n">
        <f aca="false">IFERROR(__xludf.dummyfunction("""COMPUTED_VALUE"""),115266)</f>
        <v>115266</v>
      </c>
      <c r="Q28" s="70" t="n">
        <f aca="false">IFERROR(__xludf.dummyfunction("""COMPUTED_VALUE"""),253217)</f>
        <v>253217</v>
      </c>
      <c r="R28" s="70" t="n">
        <f aca="false">IFERROR(__xludf.dummyfunction("""COMPUTED_VALUE"""),40288)</f>
        <v>40288</v>
      </c>
      <c r="S28" s="70" t="n">
        <f aca="false">IFERROR(__xludf.dummyfunction("""COMPUTED_VALUE"""),152557)</f>
        <v>152557</v>
      </c>
      <c r="T28" s="70" t="n">
        <f aca="false">IFERROR(__xludf.dummyfunction("""COMPUTED_VALUE"""),27705)</f>
        <v>27705</v>
      </c>
      <c r="U28" s="70" t="n">
        <f aca="false">IFERROR(__xludf.dummyfunction("""COMPUTED_VALUE"""),38210)</f>
        <v>38210</v>
      </c>
      <c r="V28" s="70" t="n">
        <f aca="false">IFERROR(__xludf.dummyfunction("""COMPUTED_VALUE"""),0)</f>
        <v>0</v>
      </c>
      <c r="W28" s="70" t="n">
        <f aca="false">IFERROR(__xludf.dummyfunction("""COMPUTED_VALUE"""),55063)</f>
        <v>55063</v>
      </c>
      <c r="X28" s="70" t="n">
        <f aca="false">IFERROR(__xludf.dummyfunction("""COMPUTED_VALUE"""),0)</f>
        <v>0</v>
      </c>
      <c r="Y28" s="70" t="n">
        <f aca="false">IFERROR(__xludf.dummyfunction("""COMPUTED_VALUE"""),170833)</f>
        <v>170833</v>
      </c>
      <c r="Z28" s="70" t="n">
        <f aca="false">IFERROR(__xludf.dummyfunction("""COMPUTED_VALUE"""),42109)</f>
        <v>42109</v>
      </c>
      <c r="AA28" s="70" t="n">
        <f aca="false">IFERROR(__xludf.dummyfunction("""COMPUTED_VALUE"""),51587)</f>
        <v>51587</v>
      </c>
      <c r="AB28" s="70" t="n">
        <f aca="false">IFERROR(__xludf.dummyfunction("""COMPUTED_VALUE"""),123858)</f>
        <v>123858</v>
      </c>
      <c r="AC28" s="70" t="n">
        <f aca="false">IFERROR(__xludf.dummyfunction("""COMPUTED_VALUE"""),19702)</f>
        <v>19702</v>
      </c>
      <c r="AD28" s="70" t="n">
        <f aca="false">IFERROR(__xludf.dummyfunction("""COMPUTED_VALUE"""),40706)</f>
        <v>40706</v>
      </c>
      <c r="AE28" s="70" t="n">
        <f aca="false">IFERROR(__xludf.dummyfunction("""COMPUTED_VALUE"""),986)</f>
        <v>986</v>
      </c>
      <c r="AF28" s="70" t="n">
        <f aca="false">IFERROR(__xludf.dummyfunction("""COMPUTED_VALUE"""),0)</f>
        <v>0</v>
      </c>
      <c r="AG28" s="70" t="n">
        <f aca="false">IFERROR(__xludf.dummyfunction("""COMPUTED_VALUE"""),274803)</f>
        <v>274803</v>
      </c>
      <c r="AH28" s="70" t="n">
        <f aca="false">IFERROR(__xludf.dummyfunction("""COMPUTED_VALUE"""),23851)</f>
        <v>23851</v>
      </c>
      <c r="AI28" s="70" t="n">
        <f aca="false">IFERROR(__xludf.dummyfunction("""COMPUTED_VALUE"""),553862)</f>
        <v>553862</v>
      </c>
      <c r="AJ28" s="70" t="n">
        <f aca="false">IFERROR(__xludf.dummyfunction("""COMPUTED_VALUE"""),143185)</f>
        <v>143185</v>
      </c>
      <c r="AK28" s="70" t="n">
        <f aca="false">IFERROR(__xludf.dummyfunction("""COMPUTED_VALUE"""),14982)</f>
        <v>14982</v>
      </c>
      <c r="AL28" s="70" t="n">
        <f aca="false">IFERROR(__xludf.dummyfunction("""COMPUTED_VALUE"""),607487)</f>
        <v>607487</v>
      </c>
      <c r="AM28" s="70" t="n">
        <f aca="false">IFERROR(__xludf.dummyfunction("""COMPUTED_VALUE"""),66157)</f>
        <v>66157</v>
      </c>
      <c r="AN28" s="70" t="n">
        <f aca="false">IFERROR(__xludf.dummyfunction("""COMPUTED_VALUE"""),3972)</f>
        <v>3972</v>
      </c>
      <c r="AO28" s="70" t="n">
        <f aca="false">IFERROR(__xludf.dummyfunction("""COMPUTED_VALUE"""),360414)</f>
        <v>360414</v>
      </c>
      <c r="AP28" s="70" t="n">
        <f aca="false">IFERROR(__xludf.dummyfunction("""COMPUTED_VALUE"""),0)</f>
        <v>0</v>
      </c>
      <c r="AQ28" s="70" t="n">
        <f aca="false">IFERROR(__xludf.dummyfunction("""COMPUTED_VALUE"""),61418)</f>
        <v>61418</v>
      </c>
      <c r="AR28" s="70" t="n">
        <f aca="false">IFERROR(__xludf.dummyfunction("""COMPUTED_VALUE"""),13210)</f>
        <v>13210</v>
      </c>
      <c r="AS28" s="70" t="n">
        <f aca="false">IFERROR(__xludf.dummyfunction("""COMPUTED_VALUE"""),178919)</f>
        <v>178919</v>
      </c>
      <c r="AT28" s="70" t="n">
        <f aca="false">IFERROR(__xludf.dummyfunction("""COMPUTED_VALUE"""),580938)</f>
        <v>580938</v>
      </c>
      <c r="AU28" s="70" t="n">
        <f aca="false">IFERROR(__xludf.dummyfunction("""COMPUTED_VALUE"""),15220)</f>
        <v>15220</v>
      </c>
      <c r="AV28" s="70" t="n">
        <f aca="false">IFERROR(__xludf.dummyfunction("""COMPUTED_VALUE"""),11)</f>
        <v>11</v>
      </c>
      <c r="AW28" s="70" t="n">
        <f aca="false">IFERROR(__xludf.dummyfunction("""COMPUTED_VALUE"""),40709)</f>
        <v>40709</v>
      </c>
      <c r="AX28" s="70" t="n">
        <f aca="false">IFERROR(__xludf.dummyfunction("""COMPUTED_VALUE"""),46348)</f>
        <v>46348</v>
      </c>
      <c r="AY28" s="70" t="n">
        <f aca="false">IFERROR(__xludf.dummyfunction("""COMPUTED_VALUE"""),28779)</f>
        <v>28779</v>
      </c>
      <c r="AZ28" s="70" t="n">
        <f aca="false">IFERROR(__xludf.dummyfunction("""COMPUTED_VALUE"""),11454)</f>
        <v>11454</v>
      </c>
      <c r="BA28" s="70" t="n">
        <f aca="false">IFERROR(__xludf.dummyfunction("""COMPUTED_VALUE"""),287)</f>
        <v>287</v>
      </c>
    </row>
    <row r="29" customFormat="false" ht="15.75" hidden="false" customHeight="false" outlineLevel="0" collapsed="false">
      <c r="A29" s="71" t="str">
        <f aca="false">IFERROR(__xludf.dummyfunction("""COMPUTED_VALUE"""),"area_sq_ft")</f>
        <v>area_sq_ft</v>
      </c>
      <c r="B29" s="72" t="n">
        <f aca="false">IFERROR(__xludf.dummyfunction("""COMPUTED_VALUE"""),35584728)</f>
        <v>35584728</v>
      </c>
      <c r="C29" s="73" t="n">
        <f aca="false">IFERROR(__xludf.dummyfunction("""COMPUTED_VALUE"""),809678)</f>
        <v>809678</v>
      </c>
      <c r="D29" s="70" t="n">
        <f aca="false">IFERROR(__xludf.dummyfunction("""COMPUTED_VALUE"""),100582)</f>
        <v>100582</v>
      </c>
      <c r="E29" s="70" t="n">
        <f aca="false">IFERROR(__xludf.dummyfunction("""COMPUTED_VALUE"""),848183)</f>
        <v>848183</v>
      </c>
      <c r="F29" s="70" t="n">
        <f aca="false">IFERROR(__xludf.dummyfunction("""COMPUTED_VALUE"""),926021)</f>
        <v>926021</v>
      </c>
      <c r="G29" s="70" t="n">
        <f aca="false">IFERROR(__xludf.dummyfunction("""COMPUTED_VALUE"""),2235929)</f>
        <v>2235929</v>
      </c>
      <c r="H29" s="70" t="n">
        <f aca="false">IFERROR(__xludf.dummyfunction("""COMPUTED_VALUE"""),618118)</f>
        <v>618118</v>
      </c>
      <c r="I29" s="70" t="n">
        <f aca="false">IFERROR(__xludf.dummyfunction("""COMPUTED_VALUE"""),169392)</f>
        <v>169392</v>
      </c>
      <c r="J29" s="70" t="n">
        <f aca="false">IFERROR(__xludf.dummyfunction("""COMPUTED_VALUE"""),76773)</f>
        <v>76773</v>
      </c>
      <c r="K29" s="70" t="n">
        <f aca="false">IFERROR(__xludf.dummyfunction("""COMPUTED_VALUE"""),25365)</f>
        <v>25365</v>
      </c>
      <c r="L29" s="70" t="n">
        <f aca="false">IFERROR(__xludf.dummyfunction("""COMPUTED_VALUE"""),2155068)</f>
        <v>2155068</v>
      </c>
      <c r="M29" s="70" t="n">
        <f aca="false">IFERROR(__xludf.dummyfunction("""COMPUTED_VALUE"""),642319)</f>
        <v>642319</v>
      </c>
      <c r="N29" s="70" t="n">
        <f aca="false">IFERROR(__xludf.dummyfunction("""COMPUTED_VALUE"""),117252)</f>
        <v>117252</v>
      </c>
      <c r="O29" s="70" t="n">
        <f aca="false">IFERROR(__xludf.dummyfunction("""COMPUTED_VALUE"""),238262)</f>
        <v>238262</v>
      </c>
      <c r="P29" s="70" t="n">
        <f aca="false">IFERROR(__xludf.dummyfunction("""COMPUTED_VALUE"""),1418053)</f>
        <v>1418053</v>
      </c>
      <c r="Q29" s="70" t="n">
        <f aca="false">IFERROR(__xludf.dummyfunction("""COMPUTED_VALUE"""),968963)</f>
        <v>968963</v>
      </c>
      <c r="R29" s="70" t="n">
        <f aca="false">IFERROR(__xludf.dummyfunction("""COMPUTED_VALUE"""),1039330)</f>
        <v>1039330</v>
      </c>
      <c r="S29" s="70" t="n">
        <f aca="false">IFERROR(__xludf.dummyfunction("""COMPUTED_VALUE"""),547179)</f>
        <v>547179</v>
      </c>
      <c r="T29" s="70" t="n">
        <f aca="false">IFERROR(__xludf.dummyfunction("""COMPUTED_VALUE"""),371003)</f>
        <v>371003</v>
      </c>
      <c r="U29" s="70" t="n">
        <f aca="false">IFERROR(__xludf.dummyfunction("""COMPUTED_VALUE"""),640886)</f>
        <v>640886</v>
      </c>
      <c r="V29" s="70" t="n">
        <f aca="false">IFERROR(__xludf.dummyfunction("""COMPUTED_VALUE"""),121102)</f>
        <v>121102</v>
      </c>
      <c r="W29" s="70" t="n">
        <f aca="false">IFERROR(__xludf.dummyfunction("""COMPUTED_VALUE"""),275692)</f>
        <v>275692</v>
      </c>
      <c r="X29" s="70" t="n">
        <f aca="false">IFERROR(__xludf.dummyfunction("""COMPUTED_VALUE"""),349889)</f>
        <v>349889</v>
      </c>
      <c r="Y29" s="70" t="n">
        <f aca="false">IFERROR(__xludf.dummyfunction("""COMPUTED_VALUE"""),865051)</f>
        <v>865051</v>
      </c>
      <c r="Z29" s="70" t="n">
        <f aca="false">IFERROR(__xludf.dummyfunction("""COMPUTED_VALUE"""),849570)</f>
        <v>849570</v>
      </c>
      <c r="AA29" s="70" t="n">
        <f aca="false">IFERROR(__xludf.dummyfunction("""COMPUTED_VALUE"""),550579)</f>
        <v>550579</v>
      </c>
      <c r="AB29" s="70" t="n">
        <f aca="false">IFERROR(__xludf.dummyfunction("""COMPUTED_VALUE"""),688195)</f>
        <v>688195</v>
      </c>
      <c r="AC29" s="70" t="n">
        <f aca="false">IFERROR(__xludf.dummyfunction("""COMPUTED_VALUE"""),436621)</f>
        <v>436621</v>
      </c>
      <c r="AD29" s="70" t="n">
        <f aca="false">IFERROR(__xludf.dummyfunction("""COMPUTED_VALUE"""),393079)</f>
        <v>393079</v>
      </c>
      <c r="AE29" s="70" t="n">
        <f aca="false">IFERROR(__xludf.dummyfunction("""COMPUTED_VALUE"""),227382)</f>
        <v>227382</v>
      </c>
      <c r="AF29" s="70" t="n">
        <f aca="false">IFERROR(__xludf.dummyfunction("""COMPUTED_VALUE"""),116883)</f>
        <v>116883</v>
      </c>
      <c r="AG29" s="70" t="n">
        <f aca="false">IFERROR(__xludf.dummyfunction("""COMPUTED_VALUE"""),504509)</f>
        <v>504509</v>
      </c>
      <c r="AH29" s="70" t="n">
        <f aca="false">IFERROR(__xludf.dummyfunction("""COMPUTED_VALUE"""),599229)</f>
        <v>599229</v>
      </c>
      <c r="AI29" s="70" t="n">
        <f aca="false">IFERROR(__xludf.dummyfunction("""COMPUTED_VALUE"""),1180802)</f>
        <v>1180802</v>
      </c>
      <c r="AJ29" s="70" t="n">
        <f aca="false">IFERROR(__xludf.dummyfunction("""COMPUTED_VALUE"""),1136759)</f>
        <v>1136759</v>
      </c>
      <c r="AK29" s="70" t="n">
        <f aca="false">IFERROR(__xludf.dummyfunction("""COMPUTED_VALUE"""),423162)</f>
        <v>423162</v>
      </c>
      <c r="AL29" s="70" t="n">
        <f aca="false">IFERROR(__xludf.dummyfunction("""COMPUTED_VALUE"""),1760703)</f>
        <v>1760703</v>
      </c>
      <c r="AM29" s="70" t="n">
        <f aca="false">IFERROR(__xludf.dummyfunction("""COMPUTED_VALUE"""),594564)</f>
        <v>594564</v>
      </c>
      <c r="AN29" s="70" t="n">
        <f aca="false">IFERROR(__xludf.dummyfunction("""COMPUTED_VALUE"""),466898)</f>
        <v>466898</v>
      </c>
      <c r="AO29" s="70" t="n">
        <f aca="false">IFERROR(__xludf.dummyfunction("""COMPUTED_VALUE"""),1236573)</f>
        <v>1236573</v>
      </c>
      <c r="AP29" s="70" t="n">
        <f aca="false">IFERROR(__xludf.dummyfunction("""COMPUTED_VALUE"""),75453)</f>
        <v>75453</v>
      </c>
      <c r="AQ29" s="70" t="n">
        <f aca="false">IFERROR(__xludf.dummyfunction("""COMPUTED_VALUE"""),612776)</f>
        <v>612776</v>
      </c>
      <c r="AR29" s="70" t="n">
        <f aca="false">IFERROR(__xludf.dummyfunction("""COMPUTED_VALUE"""),348943)</f>
        <v>348943</v>
      </c>
      <c r="AS29" s="70" t="n">
        <f aca="false">IFERROR(__xludf.dummyfunction("""COMPUTED_VALUE"""),469117)</f>
        <v>469117</v>
      </c>
      <c r="AT29" s="70" t="n">
        <f aca="false">IFERROR(__xludf.dummyfunction("""COMPUTED_VALUE"""),3828978)</f>
        <v>3828978</v>
      </c>
      <c r="AU29" s="70" t="n">
        <f aca="false">IFERROR(__xludf.dummyfunction("""COMPUTED_VALUE"""),348043)</f>
        <v>348043</v>
      </c>
      <c r="AV29" s="70" t="n">
        <f aca="false">IFERROR(__xludf.dummyfunction("""COMPUTED_VALUE"""),30291)</f>
        <v>30291</v>
      </c>
      <c r="AW29" s="70" t="n">
        <f aca="false">IFERROR(__xludf.dummyfunction("""COMPUTED_VALUE"""),592033)</f>
        <v>592033</v>
      </c>
      <c r="AX29" s="70" t="n">
        <f aca="false">IFERROR(__xludf.dummyfunction("""COMPUTED_VALUE"""),688489)</f>
        <v>688489</v>
      </c>
      <c r="AY29" s="70" t="n">
        <f aca="false">IFERROR(__xludf.dummyfunction("""COMPUTED_VALUE"""),647764)</f>
        <v>647764</v>
      </c>
      <c r="AZ29" s="70" t="n">
        <f aca="false">IFERROR(__xludf.dummyfunction("""COMPUTED_VALUE"""),1117369)</f>
        <v>1117369</v>
      </c>
      <c r="BA29" s="70" t="n">
        <f aca="false">IFERROR(__xludf.dummyfunction("""COMPUTED_VALUE"""),99874)</f>
        <v>99874</v>
      </c>
    </row>
    <row r="30" customFormat="false" ht="15.75" hidden="false" customHeight="false" outlineLevel="0" collapsed="false">
      <c r="A30" s="71" t="str">
        <f aca="false">IFERROR(__xludf.dummyfunction("""COMPUTED_VALUE"""),"area_acres")</f>
        <v>area_acres</v>
      </c>
      <c r="B30" s="72" t="n">
        <f aca="false">IFERROR(__xludf.dummyfunction("""COMPUTED_VALUE"""),35584728)</f>
        <v>35584728</v>
      </c>
      <c r="C30" s="73" t="n">
        <f aca="false">IFERROR(__xludf.dummyfunction("""COMPUTED_VALUE"""),809678)</f>
        <v>809678</v>
      </c>
      <c r="D30" s="70" t="n">
        <f aca="false">IFERROR(__xludf.dummyfunction("""COMPUTED_VALUE"""),100582)</f>
        <v>100582</v>
      </c>
      <c r="E30" s="70" t="n">
        <f aca="false">IFERROR(__xludf.dummyfunction("""COMPUTED_VALUE"""),848183)</f>
        <v>848183</v>
      </c>
      <c r="F30" s="70" t="n">
        <f aca="false">IFERROR(__xludf.dummyfunction("""COMPUTED_VALUE"""),926021)</f>
        <v>926021</v>
      </c>
      <c r="G30" s="70" t="n">
        <f aca="false">IFERROR(__xludf.dummyfunction("""COMPUTED_VALUE"""),2235929)</f>
        <v>2235929</v>
      </c>
      <c r="H30" s="70" t="n">
        <f aca="false">IFERROR(__xludf.dummyfunction("""COMPUTED_VALUE"""),618118)</f>
        <v>618118</v>
      </c>
      <c r="I30" s="70" t="n">
        <f aca="false">IFERROR(__xludf.dummyfunction("""COMPUTED_VALUE"""),169392)</f>
        <v>169392</v>
      </c>
      <c r="J30" s="70" t="n">
        <f aca="false">IFERROR(__xludf.dummyfunction("""COMPUTED_VALUE"""),76773)</f>
        <v>76773</v>
      </c>
      <c r="K30" s="70" t="n">
        <f aca="false">IFERROR(__xludf.dummyfunction("""COMPUTED_VALUE"""),25365)</f>
        <v>25365</v>
      </c>
      <c r="L30" s="70" t="n">
        <f aca="false">IFERROR(__xludf.dummyfunction("""COMPUTED_VALUE"""),2155068)</f>
        <v>2155068</v>
      </c>
      <c r="M30" s="70" t="n">
        <f aca="false">IFERROR(__xludf.dummyfunction("""COMPUTED_VALUE"""),642319)</f>
        <v>642319</v>
      </c>
      <c r="N30" s="70" t="n">
        <f aca="false">IFERROR(__xludf.dummyfunction("""COMPUTED_VALUE"""),117252)</f>
        <v>117252</v>
      </c>
      <c r="O30" s="70" t="n">
        <f aca="false">IFERROR(__xludf.dummyfunction("""COMPUTED_VALUE"""),238262)</f>
        <v>238262</v>
      </c>
      <c r="P30" s="70" t="n">
        <f aca="false">IFERROR(__xludf.dummyfunction("""COMPUTED_VALUE"""),1418053)</f>
        <v>1418053</v>
      </c>
      <c r="Q30" s="70" t="n">
        <f aca="false">IFERROR(__xludf.dummyfunction("""COMPUTED_VALUE"""),968963)</f>
        <v>968963</v>
      </c>
      <c r="R30" s="70" t="n">
        <f aca="false">IFERROR(__xludf.dummyfunction("""COMPUTED_VALUE"""),1039330)</f>
        <v>1039330</v>
      </c>
      <c r="S30" s="70" t="n">
        <f aca="false">IFERROR(__xludf.dummyfunction("""COMPUTED_VALUE"""),547179)</f>
        <v>547179</v>
      </c>
      <c r="T30" s="70" t="n">
        <f aca="false">IFERROR(__xludf.dummyfunction("""COMPUTED_VALUE"""),371003)</f>
        <v>371003</v>
      </c>
      <c r="U30" s="70" t="n">
        <f aca="false">IFERROR(__xludf.dummyfunction("""COMPUTED_VALUE"""),640886)</f>
        <v>640886</v>
      </c>
      <c r="V30" s="70" t="n">
        <f aca="false">IFERROR(__xludf.dummyfunction("""COMPUTED_VALUE"""),121102)</f>
        <v>121102</v>
      </c>
      <c r="W30" s="70" t="n">
        <f aca="false">IFERROR(__xludf.dummyfunction("""COMPUTED_VALUE"""),275692)</f>
        <v>275692</v>
      </c>
      <c r="X30" s="70" t="n">
        <f aca="false">IFERROR(__xludf.dummyfunction("""COMPUTED_VALUE"""),349889)</f>
        <v>349889</v>
      </c>
      <c r="Y30" s="70" t="n">
        <f aca="false">IFERROR(__xludf.dummyfunction("""COMPUTED_VALUE"""),865051)</f>
        <v>865051</v>
      </c>
      <c r="Z30" s="70" t="n">
        <f aca="false">IFERROR(__xludf.dummyfunction("""COMPUTED_VALUE"""),849570)</f>
        <v>849570</v>
      </c>
      <c r="AA30" s="70" t="n">
        <f aca="false">IFERROR(__xludf.dummyfunction("""COMPUTED_VALUE"""),550579)</f>
        <v>550579</v>
      </c>
      <c r="AB30" s="70" t="n">
        <f aca="false">IFERROR(__xludf.dummyfunction("""COMPUTED_VALUE"""),688195)</f>
        <v>688195</v>
      </c>
      <c r="AC30" s="70" t="n">
        <f aca="false">IFERROR(__xludf.dummyfunction("""COMPUTED_VALUE"""),436621)</f>
        <v>436621</v>
      </c>
      <c r="AD30" s="70" t="n">
        <f aca="false">IFERROR(__xludf.dummyfunction("""COMPUTED_VALUE"""),393079)</f>
        <v>393079</v>
      </c>
      <c r="AE30" s="70" t="n">
        <f aca="false">IFERROR(__xludf.dummyfunction("""COMPUTED_VALUE"""),227382)</f>
        <v>227382</v>
      </c>
      <c r="AF30" s="70" t="n">
        <f aca="false">IFERROR(__xludf.dummyfunction("""COMPUTED_VALUE"""),116883)</f>
        <v>116883</v>
      </c>
      <c r="AG30" s="70" t="n">
        <f aca="false">IFERROR(__xludf.dummyfunction("""COMPUTED_VALUE"""),504509)</f>
        <v>504509</v>
      </c>
      <c r="AH30" s="70" t="n">
        <f aca="false">IFERROR(__xludf.dummyfunction("""COMPUTED_VALUE"""),599229)</f>
        <v>599229</v>
      </c>
      <c r="AI30" s="70" t="n">
        <f aca="false">IFERROR(__xludf.dummyfunction("""COMPUTED_VALUE"""),1180802)</f>
        <v>1180802</v>
      </c>
      <c r="AJ30" s="70" t="n">
        <f aca="false">IFERROR(__xludf.dummyfunction("""COMPUTED_VALUE"""),1136759)</f>
        <v>1136759</v>
      </c>
      <c r="AK30" s="70" t="n">
        <f aca="false">IFERROR(__xludf.dummyfunction("""COMPUTED_VALUE"""),423162)</f>
        <v>423162</v>
      </c>
      <c r="AL30" s="70" t="n">
        <f aca="false">IFERROR(__xludf.dummyfunction("""COMPUTED_VALUE"""),1760703)</f>
        <v>1760703</v>
      </c>
      <c r="AM30" s="70" t="n">
        <f aca="false">IFERROR(__xludf.dummyfunction("""COMPUTED_VALUE"""),594564)</f>
        <v>594564</v>
      </c>
      <c r="AN30" s="70" t="n">
        <f aca="false">IFERROR(__xludf.dummyfunction("""COMPUTED_VALUE"""),466898)</f>
        <v>466898</v>
      </c>
      <c r="AO30" s="70" t="n">
        <f aca="false">IFERROR(__xludf.dummyfunction("""COMPUTED_VALUE"""),1236573)</f>
        <v>1236573</v>
      </c>
      <c r="AP30" s="70" t="n">
        <f aca="false">IFERROR(__xludf.dummyfunction("""COMPUTED_VALUE"""),75453)</f>
        <v>75453</v>
      </c>
      <c r="AQ30" s="70" t="n">
        <f aca="false">IFERROR(__xludf.dummyfunction("""COMPUTED_VALUE"""),612776)</f>
        <v>612776</v>
      </c>
      <c r="AR30" s="70" t="n">
        <f aca="false">IFERROR(__xludf.dummyfunction("""COMPUTED_VALUE"""),348943)</f>
        <v>348943</v>
      </c>
      <c r="AS30" s="70" t="n">
        <f aca="false">IFERROR(__xludf.dummyfunction("""COMPUTED_VALUE"""),469117)</f>
        <v>469117</v>
      </c>
      <c r="AT30" s="70" t="n">
        <f aca="false">IFERROR(__xludf.dummyfunction("""COMPUTED_VALUE"""),3828978)</f>
        <v>3828978</v>
      </c>
      <c r="AU30" s="70" t="n">
        <f aca="false">IFERROR(__xludf.dummyfunction("""COMPUTED_VALUE"""),348043)</f>
        <v>348043</v>
      </c>
      <c r="AV30" s="70" t="n">
        <f aca="false">IFERROR(__xludf.dummyfunction("""COMPUTED_VALUE"""),30291)</f>
        <v>30291</v>
      </c>
      <c r="AW30" s="70" t="n">
        <f aca="false">IFERROR(__xludf.dummyfunction("""COMPUTED_VALUE"""),592033)</f>
        <v>592033</v>
      </c>
      <c r="AX30" s="70" t="n">
        <f aca="false">IFERROR(__xludf.dummyfunction("""COMPUTED_VALUE"""),688489)</f>
        <v>688489</v>
      </c>
      <c r="AY30" s="70" t="n">
        <f aca="false">IFERROR(__xludf.dummyfunction("""COMPUTED_VALUE"""),647764)</f>
        <v>647764</v>
      </c>
      <c r="AZ30" s="70" t="n">
        <f aca="false">IFERROR(__xludf.dummyfunction("""COMPUTED_VALUE"""),1117369)</f>
        <v>1117369</v>
      </c>
      <c r="BA30" s="70" t="n">
        <f aca="false">IFERROR(__xludf.dummyfunction("""COMPUTED_VALUE"""),99874)</f>
        <v>99874</v>
      </c>
    </row>
    <row r="31" customFormat="false" ht="15.75" hidden="false" customHeight="false" outlineLevel="0" collapsed="false">
      <c r="A31" s="71" t="str">
        <f aca="false">IFERROR(__xludf.dummyfunction("""COMPUTED_VALUE"""),"county_name")</f>
        <v>county_name</v>
      </c>
      <c r="B31" s="72" t="n">
        <f aca="false">IFERROR(__xludf.dummyfunction("""COMPUTED_VALUE"""),36682573)</f>
        <v>36682573</v>
      </c>
      <c r="C31" s="73" t="n">
        <f aca="false">IFERROR(__xludf.dummyfunction("""COMPUTED_VALUE"""),820653)</f>
        <v>820653</v>
      </c>
      <c r="D31" s="70" t="n">
        <f aca="false">IFERROR(__xludf.dummyfunction("""COMPUTED_VALUE"""),174092)</f>
        <v>174092</v>
      </c>
      <c r="E31" s="70" t="n">
        <f aca="false">IFERROR(__xludf.dummyfunction("""COMPUTED_VALUE"""),861527)</f>
        <v>861527</v>
      </c>
      <c r="F31" s="70" t="n">
        <f aca="false">IFERROR(__xludf.dummyfunction("""COMPUTED_VALUE"""),979079)</f>
        <v>979079</v>
      </c>
      <c r="G31" s="70" t="n">
        <f aca="false">IFERROR(__xludf.dummyfunction("""COMPUTED_VALUE"""),2299041)</f>
        <v>2299041</v>
      </c>
      <c r="H31" s="70" t="n">
        <f aca="false">IFERROR(__xludf.dummyfunction("""COMPUTED_VALUE"""),634643)</f>
        <v>634643</v>
      </c>
      <c r="I31" s="70" t="n">
        <f aca="false">IFERROR(__xludf.dummyfunction("""COMPUTED_VALUE"""),182378)</f>
        <v>182378</v>
      </c>
      <c r="J31" s="70" t="n">
        <f aca="false">IFERROR(__xludf.dummyfunction("""COMPUTED_VALUE"""),78259)</f>
        <v>78259</v>
      </c>
      <c r="K31" s="70" t="n">
        <f aca="false">IFERROR(__xludf.dummyfunction("""COMPUTED_VALUE"""),37808)</f>
        <v>37808</v>
      </c>
      <c r="L31" s="70" t="n">
        <f aca="false">IFERROR(__xludf.dummyfunction("""COMPUTED_VALUE"""),2202410)</f>
        <v>2202410</v>
      </c>
      <c r="M31" s="70" t="n">
        <f aca="false">IFERROR(__xludf.dummyfunction("""COMPUTED_VALUE"""),654323)</f>
        <v>654323</v>
      </c>
      <c r="N31" s="70" t="n">
        <f aca="false">IFERROR(__xludf.dummyfunction("""COMPUTED_VALUE"""),122780)</f>
        <v>122780</v>
      </c>
      <c r="O31" s="70" t="n">
        <f aca="false">IFERROR(__xludf.dummyfunction("""COMPUTED_VALUE"""),241326)</f>
        <v>241326</v>
      </c>
      <c r="P31" s="70" t="n">
        <f aca="false">IFERROR(__xludf.dummyfunction("""COMPUTED_VALUE"""),1450322)</f>
        <v>1450322</v>
      </c>
      <c r="Q31" s="70" t="n">
        <f aca="false">IFERROR(__xludf.dummyfunction("""COMPUTED_VALUE"""),974792)</f>
        <v>974792</v>
      </c>
      <c r="R31" s="70" t="n">
        <f aca="false">IFERROR(__xludf.dummyfunction("""COMPUTED_VALUE"""),1057394)</f>
        <v>1057394</v>
      </c>
      <c r="S31" s="70" t="n">
        <f aca="false">IFERROR(__xludf.dummyfunction("""COMPUTED_VALUE"""),552322)</f>
        <v>552322</v>
      </c>
      <c r="T31" s="70" t="n">
        <f aca="false">IFERROR(__xludf.dummyfunction("""COMPUTED_VALUE"""),389342)</f>
        <v>389342</v>
      </c>
      <c r="U31" s="70" t="n">
        <f aca="false">IFERROR(__xludf.dummyfunction("""COMPUTED_VALUE"""),737673)</f>
        <v>737673</v>
      </c>
      <c r="V31" s="70" t="n">
        <f aca="false">IFERROR(__xludf.dummyfunction("""COMPUTED_VALUE"""),133130)</f>
        <v>133130</v>
      </c>
      <c r="W31" s="70" t="n">
        <f aca="false">IFERROR(__xludf.dummyfunction("""COMPUTED_VALUE"""),276303)</f>
        <v>276303</v>
      </c>
      <c r="X31" s="70" t="n">
        <f aca="false">IFERROR(__xludf.dummyfunction("""COMPUTED_VALUE"""),381012)</f>
        <v>381012</v>
      </c>
      <c r="Y31" s="70" t="n">
        <f aca="false">IFERROR(__xludf.dummyfunction("""COMPUTED_VALUE"""),900208)</f>
        <v>900208</v>
      </c>
      <c r="Z31" s="70" t="n">
        <f aca="false">IFERROR(__xludf.dummyfunction("""COMPUTED_VALUE"""),871819)</f>
        <v>871819</v>
      </c>
      <c r="AA31" s="70" t="n">
        <f aca="false">IFERROR(__xludf.dummyfunction("""COMPUTED_VALUE"""),556989)</f>
        <v>556989</v>
      </c>
      <c r="AB31" s="70" t="n">
        <f aca="false">IFERROR(__xludf.dummyfunction("""COMPUTED_VALUE"""),703354)</f>
        <v>703354</v>
      </c>
      <c r="AC31" s="70" t="n">
        <f aca="false">IFERROR(__xludf.dummyfunction("""COMPUTED_VALUE"""),441549)</f>
        <v>441549</v>
      </c>
      <c r="AD31" s="70" t="n">
        <f aca="false">IFERROR(__xludf.dummyfunction("""COMPUTED_VALUE"""),411376)</f>
        <v>411376</v>
      </c>
      <c r="AE31" s="70" t="n">
        <f aca="false">IFERROR(__xludf.dummyfunction("""COMPUTED_VALUE"""),229040)</f>
        <v>229040</v>
      </c>
      <c r="AF31" s="70" t="n">
        <f aca="false">IFERROR(__xludf.dummyfunction("""COMPUTED_VALUE"""),128060)</f>
        <v>128060</v>
      </c>
      <c r="AG31" s="70" t="n">
        <f aca="false">IFERROR(__xludf.dummyfunction("""COMPUTED_VALUE"""),516774)</f>
        <v>516774</v>
      </c>
      <c r="AH31" s="70" t="n">
        <f aca="false">IFERROR(__xludf.dummyfunction("""COMPUTED_VALUE"""),612828)</f>
        <v>612828</v>
      </c>
      <c r="AI31" s="70" t="n">
        <f aca="false">IFERROR(__xludf.dummyfunction("""COMPUTED_VALUE"""),1261183)</f>
        <v>1261183</v>
      </c>
      <c r="AJ31" s="70" t="n">
        <f aca="false">IFERROR(__xludf.dummyfunction("""COMPUTED_VALUE"""),1155933)</f>
        <v>1155933</v>
      </c>
      <c r="AK31" s="70" t="n">
        <f aca="false">IFERROR(__xludf.dummyfunction("""COMPUTED_VALUE"""),459504)</f>
        <v>459504</v>
      </c>
      <c r="AL31" s="70" t="n">
        <f aca="false">IFERROR(__xludf.dummyfunction("""COMPUTED_VALUE"""),1812793)</f>
        <v>1812793</v>
      </c>
      <c r="AM31" s="70" t="n">
        <f aca="false">IFERROR(__xludf.dummyfunction("""COMPUTED_VALUE"""),602771)</f>
        <v>602771</v>
      </c>
      <c r="AN31" s="70" t="n">
        <f aca="false">IFERROR(__xludf.dummyfunction("""COMPUTED_VALUE"""),491384)</f>
        <v>491384</v>
      </c>
      <c r="AO31" s="70" t="n">
        <f aca="false">IFERROR(__xludf.dummyfunction("""COMPUTED_VALUE"""),1255618)</f>
        <v>1255618</v>
      </c>
      <c r="AP31" s="70" t="n">
        <f aca="false">IFERROR(__xludf.dummyfunction("""COMPUTED_VALUE"""),79678)</f>
        <v>79678</v>
      </c>
      <c r="AQ31" s="70" t="n">
        <f aca="false">IFERROR(__xludf.dummyfunction("""COMPUTED_VALUE"""),628145)</f>
        <v>628145</v>
      </c>
      <c r="AR31" s="70" t="n">
        <f aca="false">IFERROR(__xludf.dummyfunction("""COMPUTED_VALUE"""),358147)</f>
        <v>358147</v>
      </c>
      <c r="AS31" s="70" t="n">
        <f aca="false">IFERROR(__xludf.dummyfunction("""COMPUTED_VALUE"""),483209)</f>
        <v>483209</v>
      </c>
      <c r="AT31" s="70" t="n">
        <f aca="false">IFERROR(__xludf.dummyfunction("""COMPUTED_VALUE"""),3881842)</f>
        <v>3881842</v>
      </c>
      <c r="AU31" s="70" t="n">
        <f aca="false">IFERROR(__xludf.dummyfunction("""COMPUTED_VALUE"""),357726)</f>
        <v>357726</v>
      </c>
      <c r="AV31" s="70" t="n">
        <f aca="false">IFERROR(__xludf.dummyfunction("""COMPUTED_VALUE"""),34759)</f>
        <v>34759</v>
      </c>
      <c r="AW31" s="70" t="n">
        <f aca="false">IFERROR(__xludf.dummyfunction("""COMPUTED_VALUE"""),607748)</f>
        <v>607748</v>
      </c>
      <c r="AX31" s="70" t="n">
        <f aca="false">IFERROR(__xludf.dummyfunction("""COMPUTED_VALUE"""),704022)</f>
        <v>704022</v>
      </c>
      <c r="AY31" s="70" t="n">
        <f aca="false">IFERROR(__xludf.dummyfunction("""COMPUTED_VALUE"""),668634)</f>
        <v>668634</v>
      </c>
      <c r="AZ31" s="70" t="n">
        <f aca="false">IFERROR(__xludf.dummyfunction("""COMPUTED_VALUE"""),1125704)</f>
        <v>1125704</v>
      </c>
      <c r="BA31" s="70" t="n">
        <f aca="false">IFERROR(__xludf.dummyfunction("""COMPUTED_VALUE"""),101167)</f>
        <v>101167</v>
      </c>
    </row>
    <row r="32" customFormat="false" ht="15.75" hidden="false" customHeight="false" outlineLevel="0" collapsed="false">
      <c r="A32" s="71" t="str">
        <f aca="false">IFERROR(__xludf.dummyfunction("""COMPUTED_VALUE"""),"county_land_use_code")</f>
        <v>county_land_use_code</v>
      </c>
      <c r="B32" s="72" t="n">
        <f aca="false">IFERROR(__xludf.dummyfunction("""COMPUTED_VALUE"""),0)</f>
        <v>0</v>
      </c>
      <c r="C32" s="73" t="n">
        <f aca="false">IFERROR(__xludf.dummyfunction("""COMPUTED_VALUE"""),0)</f>
        <v>0</v>
      </c>
      <c r="D32" s="70" t="n">
        <f aca="false">IFERROR(__xludf.dummyfunction("""COMPUTED_VALUE"""),0)</f>
        <v>0</v>
      </c>
      <c r="E32" s="70" t="n">
        <f aca="false">IFERROR(__xludf.dummyfunction("""COMPUTED_VALUE"""),0)</f>
        <v>0</v>
      </c>
      <c r="F32" s="70" t="n">
        <f aca="false">IFERROR(__xludf.dummyfunction("""COMPUTED_VALUE"""),0)</f>
        <v>0</v>
      </c>
      <c r="G32" s="70" t="n">
        <f aca="false">IFERROR(__xludf.dummyfunction("""COMPUTED_VALUE"""),0)</f>
        <v>0</v>
      </c>
      <c r="H32" s="70" t="n">
        <f aca="false">IFERROR(__xludf.dummyfunction("""COMPUTED_VALUE"""),0)</f>
        <v>0</v>
      </c>
      <c r="I32" s="70" t="n">
        <f aca="false">IFERROR(__xludf.dummyfunction("""COMPUTED_VALUE"""),0)</f>
        <v>0</v>
      </c>
      <c r="J32" s="70" t="n">
        <f aca="false">IFERROR(__xludf.dummyfunction("""COMPUTED_VALUE"""),0)</f>
        <v>0</v>
      </c>
      <c r="K32" s="70" t="n">
        <f aca="false">IFERROR(__xludf.dummyfunction("""COMPUTED_VALUE"""),0)</f>
        <v>0</v>
      </c>
      <c r="L32" s="70" t="n">
        <f aca="false">IFERROR(__xludf.dummyfunction("""COMPUTED_VALUE"""),0)</f>
        <v>0</v>
      </c>
      <c r="M32" s="70" t="n">
        <f aca="false">IFERROR(__xludf.dummyfunction("""COMPUTED_VALUE"""),0)</f>
        <v>0</v>
      </c>
      <c r="N32" s="70" t="n">
        <f aca="false">IFERROR(__xludf.dummyfunction("""COMPUTED_VALUE"""),0)</f>
        <v>0</v>
      </c>
      <c r="O32" s="70" t="n">
        <f aca="false">IFERROR(__xludf.dummyfunction("""COMPUTED_VALUE"""),0)</f>
        <v>0</v>
      </c>
      <c r="P32" s="70" t="n">
        <f aca="false">IFERROR(__xludf.dummyfunction("""COMPUTED_VALUE"""),0)</f>
        <v>0</v>
      </c>
      <c r="Q32" s="70" t="n">
        <f aca="false">IFERROR(__xludf.dummyfunction("""COMPUTED_VALUE"""),0)</f>
        <v>0</v>
      </c>
      <c r="R32" s="70" t="n">
        <f aca="false">IFERROR(__xludf.dummyfunction("""COMPUTED_VALUE"""),0)</f>
        <v>0</v>
      </c>
      <c r="S32" s="70" t="n">
        <f aca="false">IFERROR(__xludf.dummyfunction("""COMPUTED_VALUE"""),0)</f>
        <v>0</v>
      </c>
      <c r="T32" s="70" t="n">
        <f aca="false">IFERROR(__xludf.dummyfunction("""COMPUTED_VALUE"""),0)</f>
        <v>0</v>
      </c>
      <c r="U32" s="70" t="n">
        <f aca="false">IFERROR(__xludf.dummyfunction("""COMPUTED_VALUE"""),0)</f>
        <v>0</v>
      </c>
      <c r="V32" s="70" t="n">
        <f aca="false">IFERROR(__xludf.dummyfunction("""COMPUTED_VALUE"""),0)</f>
        <v>0</v>
      </c>
      <c r="W32" s="70" t="n">
        <f aca="false">IFERROR(__xludf.dummyfunction("""COMPUTED_VALUE"""),0)</f>
        <v>0</v>
      </c>
      <c r="X32" s="70" t="n">
        <f aca="false">IFERROR(__xludf.dummyfunction("""COMPUTED_VALUE"""),0)</f>
        <v>0</v>
      </c>
      <c r="Y32" s="70" t="n">
        <f aca="false">IFERROR(__xludf.dummyfunction("""COMPUTED_VALUE"""),0)</f>
        <v>0</v>
      </c>
      <c r="Z32" s="70" t="n">
        <f aca="false">IFERROR(__xludf.dummyfunction("""COMPUTED_VALUE"""),0)</f>
        <v>0</v>
      </c>
      <c r="AA32" s="70" t="n">
        <f aca="false">IFERROR(__xludf.dummyfunction("""COMPUTED_VALUE"""),0)</f>
        <v>0</v>
      </c>
      <c r="AB32" s="70" t="n">
        <f aca="false">IFERROR(__xludf.dummyfunction("""COMPUTED_VALUE"""),0)</f>
        <v>0</v>
      </c>
      <c r="AC32" s="70" t="n">
        <f aca="false">IFERROR(__xludf.dummyfunction("""COMPUTED_VALUE"""),0)</f>
        <v>0</v>
      </c>
      <c r="AD32" s="70" t="n">
        <f aca="false">IFERROR(__xludf.dummyfunction("""COMPUTED_VALUE"""),0)</f>
        <v>0</v>
      </c>
      <c r="AE32" s="70" t="n">
        <f aca="false">IFERROR(__xludf.dummyfunction("""COMPUTED_VALUE"""),0)</f>
        <v>0</v>
      </c>
      <c r="AF32" s="70" t="n">
        <f aca="false">IFERROR(__xludf.dummyfunction("""COMPUTED_VALUE"""),0)</f>
        <v>0</v>
      </c>
      <c r="AG32" s="70" t="n">
        <f aca="false">IFERROR(__xludf.dummyfunction("""COMPUTED_VALUE"""),0)</f>
        <v>0</v>
      </c>
      <c r="AH32" s="70" t="n">
        <f aca="false">IFERROR(__xludf.dummyfunction("""COMPUTED_VALUE"""),0)</f>
        <v>0</v>
      </c>
      <c r="AI32" s="70" t="n">
        <f aca="false">IFERROR(__xludf.dummyfunction("""COMPUTED_VALUE"""),0)</f>
        <v>0</v>
      </c>
      <c r="AJ32" s="70" t="n">
        <f aca="false">IFERROR(__xludf.dummyfunction("""COMPUTED_VALUE"""),0)</f>
        <v>0</v>
      </c>
      <c r="AK32" s="70" t="n">
        <f aca="false">IFERROR(__xludf.dummyfunction("""COMPUTED_VALUE"""),0)</f>
        <v>0</v>
      </c>
      <c r="AL32" s="70" t="n">
        <f aca="false">IFERROR(__xludf.dummyfunction("""COMPUTED_VALUE"""),0)</f>
        <v>0</v>
      </c>
      <c r="AM32" s="70" t="n">
        <f aca="false">IFERROR(__xludf.dummyfunction("""COMPUTED_VALUE"""),0)</f>
        <v>0</v>
      </c>
      <c r="AN32" s="70" t="n">
        <f aca="false">IFERROR(__xludf.dummyfunction("""COMPUTED_VALUE"""),0)</f>
        <v>0</v>
      </c>
      <c r="AO32" s="70" t="n">
        <f aca="false">IFERROR(__xludf.dummyfunction("""COMPUTED_VALUE"""),0)</f>
        <v>0</v>
      </c>
      <c r="AP32" s="70" t="n">
        <f aca="false">IFERROR(__xludf.dummyfunction("""COMPUTED_VALUE"""),0)</f>
        <v>0</v>
      </c>
      <c r="AQ32" s="70" t="n">
        <f aca="false">IFERROR(__xludf.dummyfunction("""COMPUTED_VALUE"""),0)</f>
        <v>0</v>
      </c>
      <c r="AR32" s="70" t="n">
        <f aca="false">IFERROR(__xludf.dummyfunction("""COMPUTED_VALUE"""),0)</f>
        <v>0</v>
      </c>
      <c r="AS32" s="70" t="n">
        <f aca="false">IFERROR(__xludf.dummyfunction("""COMPUTED_VALUE"""),0)</f>
        <v>0</v>
      </c>
      <c r="AT32" s="70" t="n">
        <f aca="false">IFERROR(__xludf.dummyfunction("""COMPUTED_VALUE"""),0)</f>
        <v>0</v>
      </c>
      <c r="AU32" s="70" t="n">
        <f aca="false">IFERROR(__xludf.dummyfunction("""COMPUTED_VALUE"""),0)</f>
        <v>0</v>
      </c>
      <c r="AV32" s="70" t="n">
        <f aca="false">IFERROR(__xludf.dummyfunction("""COMPUTED_VALUE"""),0)</f>
        <v>0</v>
      </c>
      <c r="AW32" s="70" t="n">
        <f aca="false">IFERROR(__xludf.dummyfunction("""COMPUTED_VALUE"""),0)</f>
        <v>0</v>
      </c>
      <c r="AX32" s="70" t="n">
        <f aca="false">IFERROR(__xludf.dummyfunction("""COMPUTED_VALUE"""),0)</f>
        <v>0</v>
      </c>
      <c r="AY32" s="70" t="n">
        <f aca="false">IFERROR(__xludf.dummyfunction("""COMPUTED_VALUE"""),0)</f>
        <v>0</v>
      </c>
      <c r="AZ32" s="70" t="n">
        <f aca="false">IFERROR(__xludf.dummyfunction("""COMPUTED_VALUE"""),0)</f>
        <v>0</v>
      </c>
      <c r="BA32" s="70" t="n">
        <f aca="false">IFERROR(__xludf.dummyfunction("""COMPUTED_VALUE"""),0)</f>
        <v>0</v>
      </c>
    </row>
    <row r="33" customFormat="false" ht="15.75" hidden="false" customHeight="false" outlineLevel="0" collapsed="false">
      <c r="A33" s="71" t="str">
        <f aca="false">IFERROR(__xludf.dummyfunction("""COMPUTED_VALUE"""),"county_land_use_description")</f>
        <v>county_land_use_description</v>
      </c>
      <c r="B33" s="72" t="n">
        <f aca="false">IFERROR(__xludf.dummyfunction("""COMPUTED_VALUE"""),0)</f>
        <v>0</v>
      </c>
      <c r="C33" s="73" t="n">
        <f aca="false">IFERROR(__xludf.dummyfunction("""COMPUTED_VALUE"""),0)</f>
        <v>0</v>
      </c>
      <c r="D33" s="70" t="n">
        <f aca="false">IFERROR(__xludf.dummyfunction("""COMPUTED_VALUE"""),0)</f>
        <v>0</v>
      </c>
      <c r="E33" s="70" t="n">
        <f aca="false">IFERROR(__xludf.dummyfunction("""COMPUTED_VALUE"""),0)</f>
        <v>0</v>
      </c>
      <c r="F33" s="70" t="n">
        <f aca="false">IFERROR(__xludf.dummyfunction("""COMPUTED_VALUE"""),0)</f>
        <v>0</v>
      </c>
      <c r="G33" s="70" t="n">
        <f aca="false">IFERROR(__xludf.dummyfunction("""COMPUTED_VALUE"""),0)</f>
        <v>0</v>
      </c>
      <c r="H33" s="70" t="n">
        <f aca="false">IFERROR(__xludf.dummyfunction("""COMPUTED_VALUE"""),0)</f>
        <v>0</v>
      </c>
      <c r="I33" s="70" t="n">
        <f aca="false">IFERROR(__xludf.dummyfunction("""COMPUTED_VALUE"""),0)</f>
        <v>0</v>
      </c>
      <c r="J33" s="70" t="n">
        <f aca="false">IFERROR(__xludf.dummyfunction("""COMPUTED_VALUE"""),0)</f>
        <v>0</v>
      </c>
      <c r="K33" s="70" t="n">
        <f aca="false">IFERROR(__xludf.dummyfunction("""COMPUTED_VALUE"""),0)</f>
        <v>0</v>
      </c>
      <c r="L33" s="70" t="n">
        <f aca="false">IFERROR(__xludf.dummyfunction("""COMPUTED_VALUE"""),0)</f>
        <v>0</v>
      </c>
      <c r="M33" s="70" t="n">
        <f aca="false">IFERROR(__xludf.dummyfunction("""COMPUTED_VALUE"""),0)</f>
        <v>0</v>
      </c>
      <c r="N33" s="70" t="n">
        <f aca="false">IFERROR(__xludf.dummyfunction("""COMPUTED_VALUE"""),0)</f>
        <v>0</v>
      </c>
      <c r="O33" s="70" t="n">
        <f aca="false">IFERROR(__xludf.dummyfunction("""COMPUTED_VALUE"""),0)</f>
        <v>0</v>
      </c>
      <c r="P33" s="70" t="n">
        <f aca="false">IFERROR(__xludf.dummyfunction("""COMPUTED_VALUE"""),0)</f>
        <v>0</v>
      </c>
      <c r="Q33" s="70" t="n">
        <f aca="false">IFERROR(__xludf.dummyfunction("""COMPUTED_VALUE"""),0)</f>
        <v>0</v>
      </c>
      <c r="R33" s="70" t="n">
        <f aca="false">IFERROR(__xludf.dummyfunction("""COMPUTED_VALUE"""),0)</f>
        <v>0</v>
      </c>
      <c r="S33" s="70" t="n">
        <f aca="false">IFERROR(__xludf.dummyfunction("""COMPUTED_VALUE"""),0)</f>
        <v>0</v>
      </c>
      <c r="T33" s="70" t="n">
        <f aca="false">IFERROR(__xludf.dummyfunction("""COMPUTED_VALUE"""),0)</f>
        <v>0</v>
      </c>
      <c r="U33" s="70" t="n">
        <f aca="false">IFERROR(__xludf.dummyfunction("""COMPUTED_VALUE"""),0)</f>
        <v>0</v>
      </c>
      <c r="V33" s="70" t="n">
        <f aca="false">IFERROR(__xludf.dummyfunction("""COMPUTED_VALUE"""),0)</f>
        <v>0</v>
      </c>
      <c r="W33" s="70" t="n">
        <f aca="false">IFERROR(__xludf.dummyfunction("""COMPUTED_VALUE"""),0)</f>
        <v>0</v>
      </c>
      <c r="X33" s="70" t="n">
        <f aca="false">IFERROR(__xludf.dummyfunction("""COMPUTED_VALUE"""),0)</f>
        <v>0</v>
      </c>
      <c r="Y33" s="70" t="n">
        <f aca="false">IFERROR(__xludf.dummyfunction("""COMPUTED_VALUE"""),0)</f>
        <v>0</v>
      </c>
      <c r="Z33" s="70" t="n">
        <f aca="false">IFERROR(__xludf.dummyfunction("""COMPUTED_VALUE"""),0)</f>
        <v>0</v>
      </c>
      <c r="AA33" s="70" t="n">
        <f aca="false">IFERROR(__xludf.dummyfunction("""COMPUTED_VALUE"""),0)</f>
        <v>0</v>
      </c>
      <c r="AB33" s="70" t="n">
        <f aca="false">IFERROR(__xludf.dummyfunction("""COMPUTED_VALUE"""),0)</f>
        <v>0</v>
      </c>
      <c r="AC33" s="70" t="n">
        <f aca="false">IFERROR(__xludf.dummyfunction("""COMPUTED_VALUE"""),0)</f>
        <v>0</v>
      </c>
      <c r="AD33" s="70" t="n">
        <f aca="false">IFERROR(__xludf.dummyfunction("""COMPUTED_VALUE"""),0)</f>
        <v>0</v>
      </c>
      <c r="AE33" s="70" t="n">
        <f aca="false">IFERROR(__xludf.dummyfunction("""COMPUTED_VALUE"""),0)</f>
        <v>0</v>
      </c>
      <c r="AF33" s="70" t="n">
        <f aca="false">IFERROR(__xludf.dummyfunction("""COMPUTED_VALUE"""),0)</f>
        <v>0</v>
      </c>
      <c r="AG33" s="70" t="n">
        <f aca="false">IFERROR(__xludf.dummyfunction("""COMPUTED_VALUE"""),0)</f>
        <v>0</v>
      </c>
      <c r="AH33" s="70" t="n">
        <f aca="false">IFERROR(__xludf.dummyfunction("""COMPUTED_VALUE"""),0)</f>
        <v>0</v>
      </c>
      <c r="AI33" s="70" t="n">
        <f aca="false">IFERROR(__xludf.dummyfunction("""COMPUTED_VALUE"""),0)</f>
        <v>0</v>
      </c>
      <c r="AJ33" s="70" t="n">
        <f aca="false">IFERROR(__xludf.dummyfunction("""COMPUTED_VALUE"""),0)</f>
        <v>0</v>
      </c>
      <c r="AK33" s="70" t="n">
        <f aca="false">IFERROR(__xludf.dummyfunction("""COMPUTED_VALUE"""),0)</f>
        <v>0</v>
      </c>
      <c r="AL33" s="70" t="n">
        <f aca="false">IFERROR(__xludf.dummyfunction("""COMPUTED_VALUE"""),0)</f>
        <v>0</v>
      </c>
      <c r="AM33" s="70" t="n">
        <f aca="false">IFERROR(__xludf.dummyfunction("""COMPUTED_VALUE"""),0)</f>
        <v>0</v>
      </c>
      <c r="AN33" s="70" t="n">
        <f aca="false">IFERROR(__xludf.dummyfunction("""COMPUTED_VALUE"""),0)</f>
        <v>0</v>
      </c>
      <c r="AO33" s="70" t="n">
        <f aca="false">IFERROR(__xludf.dummyfunction("""COMPUTED_VALUE"""),0)</f>
        <v>0</v>
      </c>
      <c r="AP33" s="70" t="n">
        <f aca="false">IFERROR(__xludf.dummyfunction("""COMPUTED_VALUE"""),0)</f>
        <v>0</v>
      </c>
      <c r="AQ33" s="70" t="n">
        <f aca="false">IFERROR(__xludf.dummyfunction("""COMPUTED_VALUE"""),0)</f>
        <v>0</v>
      </c>
      <c r="AR33" s="70" t="n">
        <f aca="false">IFERROR(__xludf.dummyfunction("""COMPUTED_VALUE"""),0)</f>
        <v>0</v>
      </c>
      <c r="AS33" s="70" t="n">
        <f aca="false">IFERROR(__xludf.dummyfunction("""COMPUTED_VALUE"""),0)</f>
        <v>0</v>
      </c>
      <c r="AT33" s="70" t="n">
        <f aca="false">IFERROR(__xludf.dummyfunction("""COMPUTED_VALUE"""),0)</f>
        <v>0</v>
      </c>
      <c r="AU33" s="70" t="n">
        <f aca="false">IFERROR(__xludf.dummyfunction("""COMPUTED_VALUE"""),0)</f>
        <v>0</v>
      </c>
      <c r="AV33" s="70" t="n">
        <f aca="false">IFERROR(__xludf.dummyfunction("""COMPUTED_VALUE"""),0)</f>
        <v>0</v>
      </c>
      <c r="AW33" s="70" t="n">
        <f aca="false">IFERROR(__xludf.dummyfunction("""COMPUTED_VALUE"""),0)</f>
        <v>0</v>
      </c>
      <c r="AX33" s="70" t="n">
        <f aca="false">IFERROR(__xludf.dummyfunction("""COMPUTED_VALUE"""),0)</f>
        <v>0</v>
      </c>
      <c r="AY33" s="70" t="n">
        <f aca="false">IFERROR(__xludf.dummyfunction("""COMPUTED_VALUE"""),0)</f>
        <v>0</v>
      </c>
      <c r="AZ33" s="70" t="n">
        <f aca="false">IFERROR(__xludf.dummyfunction("""COMPUTED_VALUE"""),0)</f>
        <v>0</v>
      </c>
      <c r="BA33" s="70" t="n">
        <f aca="false">IFERROR(__xludf.dummyfunction("""COMPUTED_VALUE"""),0)</f>
        <v>0</v>
      </c>
    </row>
    <row r="34" customFormat="false" ht="15.75" hidden="false" customHeight="false" outlineLevel="0" collapsed="false">
      <c r="A34" s="71" t="str">
        <f aca="false">IFERROR(__xludf.dummyfunction("""COMPUTED_VALUE"""),"standardized_land_use_category")</f>
        <v>standardized_land_use_category</v>
      </c>
      <c r="B34" s="72" t="n">
        <f aca="false">IFERROR(__xludf.dummyfunction("""COMPUTED_VALUE"""),36682573)</f>
        <v>36682573</v>
      </c>
      <c r="C34" s="73" t="n">
        <f aca="false">IFERROR(__xludf.dummyfunction("""COMPUTED_VALUE"""),820653)</f>
        <v>820653</v>
      </c>
      <c r="D34" s="70" t="n">
        <f aca="false">IFERROR(__xludf.dummyfunction("""COMPUTED_VALUE"""),174092)</f>
        <v>174092</v>
      </c>
      <c r="E34" s="70" t="n">
        <f aca="false">IFERROR(__xludf.dummyfunction("""COMPUTED_VALUE"""),861527)</f>
        <v>861527</v>
      </c>
      <c r="F34" s="70" t="n">
        <f aca="false">IFERROR(__xludf.dummyfunction("""COMPUTED_VALUE"""),979079)</f>
        <v>979079</v>
      </c>
      <c r="G34" s="70" t="n">
        <f aca="false">IFERROR(__xludf.dummyfunction("""COMPUTED_VALUE"""),2299041)</f>
        <v>2299041</v>
      </c>
      <c r="H34" s="70" t="n">
        <f aca="false">IFERROR(__xludf.dummyfunction("""COMPUTED_VALUE"""),634643)</f>
        <v>634643</v>
      </c>
      <c r="I34" s="70" t="n">
        <f aca="false">IFERROR(__xludf.dummyfunction("""COMPUTED_VALUE"""),182378)</f>
        <v>182378</v>
      </c>
      <c r="J34" s="70" t="n">
        <f aca="false">IFERROR(__xludf.dummyfunction("""COMPUTED_VALUE"""),78259)</f>
        <v>78259</v>
      </c>
      <c r="K34" s="70" t="n">
        <f aca="false">IFERROR(__xludf.dummyfunction("""COMPUTED_VALUE"""),37808)</f>
        <v>37808</v>
      </c>
      <c r="L34" s="70" t="n">
        <f aca="false">IFERROR(__xludf.dummyfunction("""COMPUTED_VALUE"""),2202410)</f>
        <v>2202410</v>
      </c>
      <c r="M34" s="70" t="n">
        <f aca="false">IFERROR(__xludf.dummyfunction("""COMPUTED_VALUE"""),654323)</f>
        <v>654323</v>
      </c>
      <c r="N34" s="70" t="n">
        <f aca="false">IFERROR(__xludf.dummyfunction("""COMPUTED_VALUE"""),122780)</f>
        <v>122780</v>
      </c>
      <c r="O34" s="70" t="n">
        <f aca="false">IFERROR(__xludf.dummyfunction("""COMPUTED_VALUE"""),241326)</f>
        <v>241326</v>
      </c>
      <c r="P34" s="70" t="n">
        <f aca="false">IFERROR(__xludf.dummyfunction("""COMPUTED_VALUE"""),1450322)</f>
        <v>1450322</v>
      </c>
      <c r="Q34" s="70" t="n">
        <f aca="false">IFERROR(__xludf.dummyfunction("""COMPUTED_VALUE"""),974792)</f>
        <v>974792</v>
      </c>
      <c r="R34" s="70" t="n">
        <f aca="false">IFERROR(__xludf.dummyfunction("""COMPUTED_VALUE"""),1057394)</f>
        <v>1057394</v>
      </c>
      <c r="S34" s="70" t="n">
        <f aca="false">IFERROR(__xludf.dummyfunction("""COMPUTED_VALUE"""),552322)</f>
        <v>552322</v>
      </c>
      <c r="T34" s="70" t="n">
        <f aca="false">IFERROR(__xludf.dummyfunction("""COMPUTED_VALUE"""),389342)</f>
        <v>389342</v>
      </c>
      <c r="U34" s="70" t="n">
        <f aca="false">IFERROR(__xludf.dummyfunction("""COMPUTED_VALUE"""),737673)</f>
        <v>737673</v>
      </c>
      <c r="V34" s="70" t="n">
        <f aca="false">IFERROR(__xludf.dummyfunction("""COMPUTED_VALUE"""),133130)</f>
        <v>133130</v>
      </c>
      <c r="W34" s="70" t="n">
        <f aca="false">IFERROR(__xludf.dummyfunction("""COMPUTED_VALUE"""),276303)</f>
        <v>276303</v>
      </c>
      <c r="X34" s="70" t="n">
        <f aca="false">IFERROR(__xludf.dummyfunction("""COMPUTED_VALUE"""),381012)</f>
        <v>381012</v>
      </c>
      <c r="Y34" s="70" t="n">
        <f aca="false">IFERROR(__xludf.dummyfunction("""COMPUTED_VALUE"""),900208)</f>
        <v>900208</v>
      </c>
      <c r="Z34" s="70" t="n">
        <f aca="false">IFERROR(__xludf.dummyfunction("""COMPUTED_VALUE"""),871819)</f>
        <v>871819</v>
      </c>
      <c r="AA34" s="70" t="n">
        <f aca="false">IFERROR(__xludf.dummyfunction("""COMPUTED_VALUE"""),556989)</f>
        <v>556989</v>
      </c>
      <c r="AB34" s="70" t="n">
        <f aca="false">IFERROR(__xludf.dummyfunction("""COMPUTED_VALUE"""),703354)</f>
        <v>703354</v>
      </c>
      <c r="AC34" s="70" t="n">
        <f aca="false">IFERROR(__xludf.dummyfunction("""COMPUTED_VALUE"""),441549)</f>
        <v>441549</v>
      </c>
      <c r="AD34" s="70" t="n">
        <f aca="false">IFERROR(__xludf.dummyfunction("""COMPUTED_VALUE"""),411376)</f>
        <v>411376</v>
      </c>
      <c r="AE34" s="70" t="n">
        <f aca="false">IFERROR(__xludf.dummyfunction("""COMPUTED_VALUE"""),229040)</f>
        <v>229040</v>
      </c>
      <c r="AF34" s="70" t="n">
        <f aca="false">IFERROR(__xludf.dummyfunction("""COMPUTED_VALUE"""),128060)</f>
        <v>128060</v>
      </c>
      <c r="AG34" s="70" t="n">
        <f aca="false">IFERROR(__xludf.dummyfunction("""COMPUTED_VALUE"""),516774)</f>
        <v>516774</v>
      </c>
      <c r="AH34" s="70" t="n">
        <f aca="false">IFERROR(__xludf.dummyfunction("""COMPUTED_VALUE"""),612828)</f>
        <v>612828</v>
      </c>
      <c r="AI34" s="70" t="n">
        <f aca="false">IFERROR(__xludf.dummyfunction("""COMPUTED_VALUE"""),1261183)</f>
        <v>1261183</v>
      </c>
      <c r="AJ34" s="70" t="n">
        <f aca="false">IFERROR(__xludf.dummyfunction("""COMPUTED_VALUE"""),1155933)</f>
        <v>1155933</v>
      </c>
      <c r="AK34" s="70" t="n">
        <f aca="false">IFERROR(__xludf.dummyfunction("""COMPUTED_VALUE"""),459504)</f>
        <v>459504</v>
      </c>
      <c r="AL34" s="70" t="n">
        <f aca="false">IFERROR(__xludf.dummyfunction("""COMPUTED_VALUE"""),1812793)</f>
        <v>1812793</v>
      </c>
      <c r="AM34" s="70" t="n">
        <f aca="false">IFERROR(__xludf.dummyfunction("""COMPUTED_VALUE"""),602771)</f>
        <v>602771</v>
      </c>
      <c r="AN34" s="70" t="n">
        <f aca="false">IFERROR(__xludf.dummyfunction("""COMPUTED_VALUE"""),491384)</f>
        <v>491384</v>
      </c>
      <c r="AO34" s="70" t="n">
        <f aca="false">IFERROR(__xludf.dummyfunction("""COMPUTED_VALUE"""),1255618)</f>
        <v>1255618</v>
      </c>
      <c r="AP34" s="70" t="n">
        <f aca="false">IFERROR(__xludf.dummyfunction("""COMPUTED_VALUE"""),79678)</f>
        <v>79678</v>
      </c>
      <c r="AQ34" s="70" t="n">
        <f aca="false">IFERROR(__xludf.dummyfunction("""COMPUTED_VALUE"""),628145)</f>
        <v>628145</v>
      </c>
      <c r="AR34" s="70" t="n">
        <f aca="false">IFERROR(__xludf.dummyfunction("""COMPUTED_VALUE"""),358147)</f>
        <v>358147</v>
      </c>
      <c r="AS34" s="70" t="n">
        <f aca="false">IFERROR(__xludf.dummyfunction("""COMPUTED_VALUE"""),483209)</f>
        <v>483209</v>
      </c>
      <c r="AT34" s="70" t="n">
        <f aca="false">IFERROR(__xludf.dummyfunction("""COMPUTED_VALUE"""),3881842)</f>
        <v>3881842</v>
      </c>
      <c r="AU34" s="70" t="n">
        <f aca="false">IFERROR(__xludf.dummyfunction("""COMPUTED_VALUE"""),357726)</f>
        <v>357726</v>
      </c>
      <c r="AV34" s="70" t="n">
        <f aca="false">IFERROR(__xludf.dummyfunction("""COMPUTED_VALUE"""),34759)</f>
        <v>34759</v>
      </c>
      <c r="AW34" s="70" t="n">
        <f aca="false">IFERROR(__xludf.dummyfunction("""COMPUTED_VALUE"""),607748)</f>
        <v>607748</v>
      </c>
      <c r="AX34" s="70" t="n">
        <f aca="false">IFERROR(__xludf.dummyfunction("""COMPUTED_VALUE"""),704022)</f>
        <v>704022</v>
      </c>
      <c r="AY34" s="70" t="n">
        <f aca="false">IFERROR(__xludf.dummyfunction("""COMPUTED_VALUE"""),668634)</f>
        <v>668634</v>
      </c>
      <c r="AZ34" s="70" t="n">
        <f aca="false">IFERROR(__xludf.dummyfunction("""COMPUTED_VALUE"""),1125704)</f>
        <v>1125704</v>
      </c>
      <c r="BA34" s="70" t="n">
        <f aca="false">IFERROR(__xludf.dummyfunction("""COMPUTED_VALUE"""),101167)</f>
        <v>101167</v>
      </c>
    </row>
    <row r="35" customFormat="false" ht="15.75" hidden="false" customHeight="false" outlineLevel="0" collapsed="false">
      <c r="A35" s="71" t="str">
        <f aca="false">IFERROR(__xludf.dummyfunction("""COMPUTED_VALUE"""),"standardized_land_use_type")</f>
        <v>standardized_land_use_type</v>
      </c>
      <c r="B35" s="72" t="n">
        <f aca="false">IFERROR(__xludf.dummyfunction("""COMPUTED_VALUE"""),36679775)</f>
        <v>36679775</v>
      </c>
      <c r="C35" s="73" t="n">
        <f aca="false">IFERROR(__xludf.dummyfunction("""COMPUTED_VALUE"""),820653)</f>
        <v>820653</v>
      </c>
      <c r="D35" s="70" t="n">
        <f aca="false">IFERROR(__xludf.dummyfunction("""COMPUTED_VALUE"""),174092)</f>
        <v>174092</v>
      </c>
      <c r="E35" s="70" t="n">
        <f aca="false">IFERROR(__xludf.dummyfunction("""COMPUTED_VALUE"""),861527)</f>
        <v>861527</v>
      </c>
      <c r="F35" s="70" t="n">
        <f aca="false">IFERROR(__xludf.dummyfunction("""COMPUTED_VALUE"""),979079)</f>
        <v>979079</v>
      </c>
      <c r="G35" s="70" t="n">
        <f aca="false">IFERROR(__xludf.dummyfunction("""COMPUTED_VALUE"""),2299041)</f>
        <v>2299041</v>
      </c>
      <c r="H35" s="70" t="n">
        <f aca="false">IFERROR(__xludf.dummyfunction("""COMPUTED_VALUE"""),634631)</f>
        <v>634631</v>
      </c>
      <c r="I35" s="70" t="n">
        <f aca="false">IFERROR(__xludf.dummyfunction("""COMPUTED_VALUE"""),182378)</f>
        <v>182378</v>
      </c>
      <c r="J35" s="70" t="n">
        <f aca="false">IFERROR(__xludf.dummyfunction("""COMPUTED_VALUE"""),78259)</f>
        <v>78259</v>
      </c>
      <c r="K35" s="70" t="n">
        <f aca="false">IFERROR(__xludf.dummyfunction("""COMPUTED_VALUE"""),37808)</f>
        <v>37808</v>
      </c>
      <c r="L35" s="70" t="n">
        <f aca="false">IFERROR(__xludf.dummyfunction("""COMPUTED_VALUE"""),2201740)</f>
        <v>2201740</v>
      </c>
      <c r="M35" s="70" t="n">
        <f aca="false">IFERROR(__xludf.dummyfunction("""COMPUTED_VALUE"""),654323)</f>
        <v>654323</v>
      </c>
      <c r="N35" s="70" t="n">
        <f aca="false">IFERROR(__xludf.dummyfunction("""COMPUTED_VALUE"""),122780)</f>
        <v>122780</v>
      </c>
      <c r="O35" s="70" t="n">
        <f aca="false">IFERROR(__xludf.dummyfunction("""COMPUTED_VALUE"""),241326)</f>
        <v>241326</v>
      </c>
      <c r="P35" s="70" t="n">
        <f aca="false">IFERROR(__xludf.dummyfunction("""COMPUTED_VALUE"""),1450322)</f>
        <v>1450322</v>
      </c>
      <c r="Q35" s="70" t="n">
        <f aca="false">IFERROR(__xludf.dummyfunction("""COMPUTED_VALUE"""),974792)</f>
        <v>974792</v>
      </c>
      <c r="R35" s="70" t="n">
        <f aca="false">IFERROR(__xludf.dummyfunction("""COMPUTED_VALUE"""),1057389)</f>
        <v>1057389</v>
      </c>
      <c r="S35" s="70" t="n">
        <f aca="false">IFERROR(__xludf.dummyfunction("""COMPUTED_VALUE"""),552250)</f>
        <v>552250</v>
      </c>
      <c r="T35" s="70" t="n">
        <f aca="false">IFERROR(__xludf.dummyfunction("""COMPUTED_VALUE"""),389342)</f>
        <v>389342</v>
      </c>
      <c r="U35" s="70" t="n">
        <f aca="false">IFERROR(__xludf.dummyfunction("""COMPUTED_VALUE"""),737673)</f>
        <v>737673</v>
      </c>
      <c r="V35" s="70" t="n">
        <f aca="false">IFERROR(__xludf.dummyfunction("""COMPUTED_VALUE"""),133130)</f>
        <v>133130</v>
      </c>
      <c r="W35" s="70" t="n">
        <f aca="false">IFERROR(__xludf.dummyfunction("""COMPUTED_VALUE"""),276303)</f>
        <v>276303</v>
      </c>
      <c r="X35" s="70" t="n">
        <f aca="false">IFERROR(__xludf.dummyfunction("""COMPUTED_VALUE"""),380221)</f>
        <v>380221</v>
      </c>
      <c r="Y35" s="70" t="n">
        <f aca="false">IFERROR(__xludf.dummyfunction("""COMPUTED_VALUE"""),900208)</f>
        <v>900208</v>
      </c>
      <c r="Z35" s="70" t="n">
        <f aca="false">IFERROR(__xludf.dummyfunction("""COMPUTED_VALUE"""),871819)</f>
        <v>871819</v>
      </c>
      <c r="AA35" s="70" t="n">
        <f aca="false">IFERROR(__xludf.dummyfunction("""COMPUTED_VALUE"""),556989)</f>
        <v>556989</v>
      </c>
      <c r="AB35" s="70" t="n">
        <f aca="false">IFERROR(__xludf.dummyfunction("""COMPUTED_VALUE"""),703354)</f>
        <v>703354</v>
      </c>
      <c r="AC35" s="70" t="n">
        <f aca="false">IFERROR(__xludf.dummyfunction("""COMPUTED_VALUE"""),441549)</f>
        <v>441549</v>
      </c>
      <c r="AD35" s="70" t="n">
        <f aca="false">IFERROR(__xludf.dummyfunction("""COMPUTED_VALUE"""),411376)</f>
        <v>411376</v>
      </c>
      <c r="AE35" s="70" t="n">
        <f aca="false">IFERROR(__xludf.dummyfunction("""COMPUTED_VALUE"""),229040)</f>
        <v>229040</v>
      </c>
      <c r="AF35" s="70" t="n">
        <f aca="false">IFERROR(__xludf.dummyfunction("""COMPUTED_VALUE"""),128060)</f>
        <v>128060</v>
      </c>
      <c r="AG35" s="70" t="n">
        <f aca="false">IFERROR(__xludf.dummyfunction("""COMPUTED_VALUE"""),516774)</f>
        <v>516774</v>
      </c>
      <c r="AH35" s="70" t="n">
        <f aca="false">IFERROR(__xludf.dummyfunction("""COMPUTED_VALUE"""),612828)</f>
        <v>612828</v>
      </c>
      <c r="AI35" s="70" t="n">
        <f aca="false">IFERROR(__xludf.dummyfunction("""COMPUTED_VALUE"""),1261183)</f>
        <v>1261183</v>
      </c>
      <c r="AJ35" s="70" t="n">
        <f aca="false">IFERROR(__xludf.dummyfunction("""COMPUTED_VALUE"""),1155933)</f>
        <v>1155933</v>
      </c>
      <c r="AK35" s="70" t="n">
        <f aca="false">IFERROR(__xludf.dummyfunction("""COMPUTED_VALUE"""),459504)</f>
        <v>459504</v>
      </c>
      <c r="AL35" s="70" t="n">
        <f aca="false">IFERROR(__xludf.dummyfunction("""COMPUTED_VALUE"""),1812793)</f>
        <v>1812793</v>
      </c>
      <c r="AM35" s="70" t="n">
        <f aca="false">IFERROR(__xludf.dummyfunction("""COMPUTED_VALUE"""),602771)</f>
        <v>602771</v>
      </c>
      <c r="AN35" s="70" t="n">
        <f aca="false">IFERROR(__xludf.dummyfunction("""COMPUTED_VALUE"""),491384)</f>
        <v>491384</v>
      </c>
      <c r="AO35" s="70" t="n">
        <f aca="false">IFERROR(__xludf.dummyfunction("""COMPUTED_VALUE"""),1255618)</f>
        <v>1255618</v>
      </c>
      <c r="AP35" s="70" t="n">
        <f aca="false">IFERROR(__xludf.dummyfunction("""COMPUTED_VALUE"""),79678)</f>
        <v>79678</v>
      </c>
      <c r="AQ35" s="70" t="n">
        <f aca="false">IFERROR(__xludf.dummyfunction("""COMPUTED_VALUE"""),627890)</f>
        <v>627890</v>
      </c>
      <c r="AR35" s="70" t="n">
        <f aca="false">IFERROR(__xludf.dummyfunction("""COMPUTED_VALUE"""),358147)</f>
        <v>358147</v>
      </c>
      <c r="AS35" s="70" t="n">
        <f aca="false">IFERROR(__xludf.dummyfunction("""COMPUTED_VALUE"""),483209)</f>
        <v>483209</v>
      </c>
      <c r="AT35" s="70" t="n">
        <f aca="false">IFERROR(__xludf.dummyfunction("""COMPUTED_VALUE"""),3881804)</f>
        <v>3881804</v>
      </c>
      <c r="AU35" s="70" t="n">
        <f aca="false">IFERROR(__xludf.dummyfunction("""COMPUTED_VALUE"""),357692)</f>
        <v>357692</v>
      </c>
      <c r="AV35" s="70" t="n">
        <f aca="false">IFERROR(__xludf.dummyfunction("""COMPUTED_VALUE"""),34759)</f>
        <v>34759</v>
      </c>
      <c r="AW35" s="70" t="n">
        <f aca="false">IFERROR(__xludf.dummyfunction("""COMPUTED_VALUE"""),607122)</f>
        <v>607122</v>
      </c>
      <c r="AX35" s="70" t="n">
        <f aca="false">IFERROR(__xludf.dummyfunction("""COMPUTED_VALUE"""),703936)</f>
        <v>703936</v>
      </c>
      <c r="AY35" s="70" t="n">
        <f aca="false">IFERROR(__xludf.dummyfunction("""COMPUTED_VALUE"""),668634)</f>
        <v>668634</v>
      </c>
      <c r="AZ35" s="70" t="n">
        <f aca="false">IFERROR(__xludf.dummyfunction("""COMPUTED_VALUE"""),1125704)</f>
        <v>1125704</v>
      </c>
      <c r="BA35" s="70" t="n">
        <f aca="false">IFERROR(__xludf.dummyfunction("""COMPUTED_VALUE"""),100958)</f>
        <v>100958</v>
      </c>
    </row>
    <row r="36" customFormat="false" ht="15.75" hidden="false" customHeight="false" outlineLevel="0" collapsed="false">
      <c r="A36" s="71" t="str">
        <f aca="false">IFERROR(__xludf.dummyfunction("""COMPUTED_VALUE"""),"location_descriptions")</f>
        <v>location_descriptions</v>
      </c>
      <c r="B36" s="72" t="n">
        <f aca="false">IFERROR(__xludf.dummyfunction("""COMPUTED_VALUE"""),1244490)</f>
        <v>1244490</v>
      </c>
      <c r="C36" s="73" t="n">
        <f aca="false">IFERROR(__xludf.dummyfunction("""COMPUTED_VALUE"""),3162)</f>
        <v>3162</v>
      </c>
      <c r="D36" s="70" t="n">
        <f aca="false">IFERROR(__xludf.dummyfunction("""COMPUTED_VALUE"""),1055)</f>
        <v>1055</v>
      </c>
      <c r="E36" s="70" t="n">
        <f aca="false">IFERROR(__xludf.dummyfunction("""COMPUTED_VALUE"""),47451)</f>
        <v>47451</v>
      </c>
      <c r="F36" s="70" t="n">
        <f aca="false">IFERROR(__xludf.dummyfunction("""COMPUTED_VALUE"""),0)</f>
        <v>0</v>
      </c>
      <c r="G36" s="70" t="n">
        <f aca="false">IFERROR(__xludf.dummyfunction("""COMPUTED_VALUE"""),75569)</f>
        <v>75569</v>
      </c>
      <c r="H36" s="70" t="n">
        <f aca="false">IFERROR(__xludf.dummyfunction("""COMPUTED_VALUE"""),3863)</f>
        <v>3863</v>
      </c>
      <c r="I36" s="70" t="n">
        <f aca="false">IFERROR(__xludf.dummyfunction("""COMPUTED_VALUE"""),10)</f>
        <v>10</v>
      </c>
      <c r="J36" s="70" t="n">
        <f aca="false">IFERROR(__xludf.dummyfunction("""COMPUTED_VALUE"""),892)</f>
        <v>892</v>
      </c>
      <c r="K36" s="70" t="n">
        <f aca="false">IFERROR(__xludf.dummyfunction("""COMPUTED_VALUE"""),599)</f>
        <v>599</v>
      </c>
      <c r="L36" s="70" t="n">
        <f aca="false">IFERROR(__xludf.dummyfunction("""COMPUTED_VALUE"""),93424)</f>
        <v>93424</v>
      </c>
      <c r="M36" s="70" t="n">
        <f aca="false">IFERROR(__xludf.dummyfunction("""COMPUTED_VALUE"""),39375)</f>
        <v>39375</v>
      </c>
      <c r="N36" s="70" t="n">
        <f aca="false">IFERROR(__xludf.dummyfunction("""COMPUTED_VALUE"""),1453)</f>
        <v>1453</v>
      </c>
      <c r="O36" s="70" t="n">
        <f aca="false">IFERROR(__xludf.dummyfunction("""COMPUTED_VALUE"""),419)</f>
        <v>419</v>
      </c>
      <c r="P36" s="70" t="n">
        <f aca="false">IFERROR(__xludf.dummyfunction("""COMPUTED_VALUE"""),0)</f>
        <v>0</v>
      </c>
      <c r="Q36" s="70" t="n">
        <f aca="false">IFERROR(__xludf.dummyfunction("""COMPUTED_VALUE"""),2158)</f>
        <v>2158</v>
      </c>
      <c r="R36" s="70" t="n">
        <f aca="false">IFERROR(__xludf.dummyfunction("""COMPUTED_VALUE"""),994)</f>
        <v>994</v>
      </c>
      <c r="S36" s="70" t="n">
        <f aca="false">IFERROR(__xludf.dummyfunction("""COMPUTED_VALUE"""),10)</f>
        <v>10</v>
      </c>
      <c r="T36" s="70" t="n">
        <f aca="false">IFERROR(__xludf.dummyfunction("""COMPUTED_VALUE"""),0)</f>
        <v>0</v>
      </c>
      <c r="U36" s="70" t="n">
        <f aca="false">IFERROR(__xludf.dummyfunction("""COMPUTED_VALUE"""),110)</f>
        <v>110</v>
      </c>
      <c r="V36" s="70" t="n">
        <f aca="false">IFERROR(__xludf.dummyfunction("""COMPUTED_VALUE"""),2)</f>
        <v>2</v>
      </c>
      <c r="W36" s="70" t="n">
        <f aca="false">IFERROR(__xludf.dummyfunction("""COMPUTED_VALUE"""),7293)</f>
        <v>7293</v>
      </c>
      <c r="X36" s="70" t="n">
        <f aca="false">IFERROR(__xludf.dummyfunction("""COMPUTED_VALUE"""),136)</f>
        <v>136</v>
      </c>
      <c r="Y36" s="70" t="n">
        <f aca="false">IFERROR(__xludf.dummyfunction("""COMPUTED_VALUE"""),6282)</f>
        <v>6282</v>
      </c>
      <c r="Z36" s="70" t="n">
        <f aca="false">IFERROR(__xludf.dummyfunction("""COMPUTED_VALUE"""),6146)</f>
        <v>6146</v>
      </c>
      <c r="AA36" s="70" t="n">
        <f aca="false">IFERROR(__xludf.dummyfunction("""COMPUTED_VALUE"""),0)</f>
        <v>0</v>
      </c>
      <c r="AB36" s="70" t="n">
        <f aca="false">IFERROR(__xludf.dummyfunction("""COMPUTED_VALUE"""),388)</f>
        <v>388</v>
      </c>
      <c r="AC36" s="70" t="n">
        <f aca="false">IFERROR(__xludf.dummyfunction("""COMPUTED_VALUE"""),365143)</f>
        <v>365143</v>
      </c>
      <c r="AD36" s="70" t="n">
        <f aca="false">IFERROR(__xludf.dummyfunction("""COMPUTED_VALUE"""),254176)</f>
        <v>254176</v>
      </c>
      <c r="AE36" s="70" t="n">
        <f aca="false">IFERROR(__xludf.dummyfunction("""COMPUTED_VALUE"""),17)</f>
        <v>17</v>
      </c>
      <c r="AF36" s="70" t="n">
        <f aca="false">IFERROR(__xludf.dummyfunction("""COMPUTED_VALUE"""),1)</f>
        <v>1</v>
      </c>
      <c r="AG36" s="70" t="n">
        <f aca="false">IFERROR(__xludf.dummyfunction("""COMPUTED_VALUE"""),4967)</f>
        <v>4967</v>
      </c>
      <c r="AH36" s="70" t="n">
        <f aca="false">IFERROR(__xludf.dummyfunction("""COMPUTED_VALUE"""),0)</f>
        <v>0</v>
      </c>
      <c r="AI36" s="70" t="n">
        <f aca="false">IFERROR(__xludf.dummyfunction("""COMPUTED_VALUE"""),74301)</f>
        <v>74301</v>
      </c>
      <c r="AJ36" s="70" t="n">
        <f aca="false">IFERROR(__xludf.dummyfunction("""COMPUTED_VALUE"""),16426)</f>
        <v>16426</v>
      </c>
      <c r="AK36" s="70" t="n">
        <f aca="false">IFERROR(__xludf.dummyfunction("""COMPUTED_VALUE"""),0)</f>
        <v>0</v>
      </c>
      <c r="AL36" s="70" t="n">
        <f aca="false">IFERROR(__xludf.dummyfunction("""COMPUTED_VALUE"""),33267)</f>
        <v>33267</v>
      </c>
      <c r="AM36" s="70" t="n">
        <f aca="false">IFERROR(__xludf.dummyfunction("""COMPUTED_VALUE"""),18668)</f>
        <v>18668</v>
      </c>
      <c r="AN36" s="70" t="n">
        <f aca="false">IFERROR(__xludf.dummyfunction("""COMPUTED_VALUE"""),6648)</f>
        <v>6648</v>
      </c>
      <c r="AO36" s="70" t="n">
        <f aca="false">IFERROR(__xludf.dummyfunction("""COMPUTED_VALUE"""),81988)</f>
        <v>81988</v>
      </c>
      <c r="AP36" s="70" t="n">
        <f aca="false">IFERROR(__xludf.dummyfunction("""COMPUTED_VALUE"""),0)</f>
        <v>0</v>
      </c>
      <c r="AQ36" s="70" t="n">
        <f aca="false">IFERROR(__xludf.dummyfunction("""COMPUTED_VALUE"""),7167)</f>
        <v>7167</v>
      </c>
      <c r="AR36" s="70" t="n">
        <f aca="false">IFERROR(__xludf.dummyfunction("""COMPUTED_VALUE"""),0)</f>
        <v>0</v>
      </c>
      <c r="AS36" s="70" t="n">
        <f aca="false">IFERROR(__xludf.dummyfunction("""COMPUTED_VALUE"""),696)</f>
        <v>696</v>
      </c>
      <c r="AT36" s="70" t="n">
        <f aca="false">IFERROR(__xludf.dummyfunction("""COMPUTED_VALUE"""),18854)</f>
        <v>18854</v>
      </c>
      <c r="AU36" s="70" t="n">
        <f aca="false">IFERROR(__xludf.dummyfunction("""COMPUTED_VALUE"""),10162)</f>
        <v>10162</v>
      </c>
      <c r="AV36" s="70" t="n">
        <f aca="false">IFERROR(__xludf.dummyfunction("""COMPUTED_VALUE"""),0)</f>
        <v>0</v>
      </c>
      <c r="AW36" s="70" t="n">
        <f aca="false">IFERROR(__xludf.dummyfunction("""COMPUTED_VALUE"""),4361)</f>
        <v>4361</v>
      </c>
      <c r="AX36" s="70" t="n">
        <f aca="false">IFERROR(__xludf.dummyfunction("""COMPUTED_VALUE"""),40692)</f>
        <v>40692</v>
      </c>
      <c r="AY36" s="70" t="n">
        <f aca="false">IFERROR(__xludf.dummyfunction("""COMPUTED_VALUE"""),10313)</f>
        <v>10313</v>
      </c>
      <c r="AZ36" s="70" t="n">
        <f aca="false">IFERROR(__xludf.dummyfunction("""COMPUTED_VALUE"""),5852)</f>
        <v>5852</v>
      </c>
      <c r="BA36" s="70" t="n">
        <f aca="false">IFERROR(__xludf.dummyfunction("""COMPUTED_VALUE"""),0)</f>
        <v>0</v>
      </c>
    </row>
    <row r="37" customFormat="false" ht="15.75" hidden="false" customHeight="false" outlineLevel="0" collapsed="false">
      <c r="A37" s="71" t="str">
        <f aca="false">IFERROR(__xludf.dummyfunction("""COMPUTED_VALUE"""),"zoning")</f>
        <v>zoning</v>
      </c>
      <c r="B37" s="72" t="n">
        <f aca="false">IFERROR(__xludf.dummyfunction("""COMPUTED_VALUE"""),12056972)</f>
        <v>12056972</v>
      </c>
      <c r="C37" s="73" t="n">
        <f aca="false">IFERROR(__xludf.dummyfunction("""COMPUTED_VALUE"""),155851)</f>
        <v>155851</v>
      </c>
      <c r="D37" s="70" t="n">
        <f aca="false">IFERROR(__xludf.dummyfunction("""COMPUTED_VALUE"""),41418)</f>
        <v>41418</v>
      </c>
      <c r="E37" s="70" t="n">
        <f aca="false">IFERROR(__xludf.dummyfunction("""COMPUTED_VALUE"""),380764)</f>
        <v>380764</v>
      </c>
      <c r="F37" s="70" t="n">
        <f aca="false">IFERROR(__xludf.dummyfunction("""COMPUTED_VALUE"""),15424)</f>
        <v>15424</v>
      </c>
      <c r="G37" s="70" t="n">
        <f aca="false">IFERROR(__xludf.dummyfunction("""COMPUTED_VALUE"""),1491345)</f>
        <v>1491345</v>
      </c>
      <c r="H37" s="70" t="n">
        <f aca="false">IFERROR(__xludf.dummyfunction("""COMPUTED_VALUE"""),204030)</f>
        <v>204030</v>
      </c>
      <c r="I37" s="70" t="n">
        <f aca="false">IFERROR(__xludf.dummyfunction("""COMPUTED_VALUE"""),155079)</f>
        <v>155079</v>
      </c>
      <c r="J37" s="70" t="n">
        <f aca="false">IFERROR(__xludf.dummyfunction("""COMPUTED_VALUE"""),71814)</f>
        <v>71814</v>
      </c>
      <c r="K37" s="70" t="n">
        <f aca="false">IFERROR(__xludf.dummyfunction("""COMPUTED_VALUE"""),28976)</f>
        <v>28976</v>
      </c>
      <c r="L37" s="70" t="n">
        <f aca="false">IFERROR(__xludf.dummyfunction("""COMPUTED_VALUE"""),1604316)</f>
        <v>1604316</v>
      </c>
      <c r="M37" s="70" t="n">
        <f aca="false">IFERROR(__xludf.dummyfunction("""COMPUTED_VALUE"""),474328)</f>
        <v>474328</v>
      </c>
      <c r="N37" s="70" t="n">
        <f aca="false">IFERROR(__xludf.dummyfunction("""COMPUTED_VALUE"""),106013)</f>
        <v>106013</v>
      </c>
      <c r="O37" s="70" t="n">
        <f aca="false">IFERROR(__xludf.dummyfunction("""COMPUTED_VALUE"""),50095)</f>
        <v>50095</v>
      </c>
      <c r="P37" s="70" t="n">
        <f aca="false">IFERROR(__xludf.dummyfunction("""COMPUTED_VALUE"""),181053)</f>
        <v>181053</v>
      </c>
      <c r="Q37" s="70" t="n">
        <f aca="false">IFERROR(__xludf.dummyfunction("""COMPUTED_VALUE"""),136184)</f>
        <v>136184</v>
      </c>
      <c r="R37" s="70" t="n">
        <f aca="false">IFERROR(__xludf.dummyfunction("""COMPUTED_VALUE"""),66119)</f>
        <v>66119</v>
      </c>
      <c r="S37" s="70" t="n">
        <f aca="false">IFERROR(__xludf.dummyfunction("""COMPUTED_VALUE"""),139927)</f>
        <v>139927</v>
      </c>
      <c r="T37" s="70" t="n">
        <f aca="false">IFERROR(__xludf.dummyfunction("""COMPUTED_VALUE"""),26517)</f>
        <v>26517</v>
      </c>
      <c r="U37" s="70" t="n">
        <f aca="false">IFERROR(__xludf.dummyfunction("""COMPUTED_VALUE"""),13909)</f>
        <v>13909</v>
      </c>
      <c r="V37" s="70" t="n">
        <f aca="false">IFERROR(__xludf.dummyfunction("""COMPUTED_VALUE"""),48305)</f>
        <v>48305</v>
      </c>
      <c r="W37" s="70" t="n">
        <f aca="false">IFERROR(__xludf.dummyfunction("""COMPUTED_VALUE"""),206309)</f>
        <v>206309</v>
      </c>
      <c r="X37" s="70" t="n">
        <f aca="false">IFERROR(__xludf.dummyfunction("""COMPUTED_VALUE"""),213078)</f>
        <v>213078</v>
      </c>
      <c r="Y37" s="70" t="n">
        <f aca="false">IFERROR(__xludf.dummyfunction("""COMPUTED_VALUE"""),174410)</f>
        <v>174410</v>
      </c>
      <c r="Z37" s="70" t="n">
        <f aca="false">IFERROR(__xludf.dummyfunction("""COMPUTED_VALUE"""),133626)</f>
        <v>133626</v>
      </c>
      <c r="AA37" s="70" t="n">
        <f aca="false">IFERROR(__xludf.dummyfunction("""COMPUTED_VALUE"""),2596)</f>
        <v>2596</v>
      </c>
      <c r="AB37" s="70" t="n">
        <f aca="false">IFERROR(__xludf.dummyfunction("""COMPUTED_VALUE"""),129902)</f>
        <v>129902</v>
      </c>
      <c r="AC37" s="70" t="n">
        <f aca="false">IFERROR(__xludf.dummyfunction("""COMPUTED_VALUE"""),47508)</f>
        <v>47508</v>
      </c>
      <c r="AD37" s="70" t="n">
        <f aca="false">IFERROR(__xludf.dummyfunction("""COMPUTED_VALUE"""),310663)</f>
        <v>310663</v>
      </c>
      <c r="AE37" s="70" t="n">
        <f aca="false">IFERROR(__xludf.dummyfunction("""COMPUTED_VALUE"""),179998)</f>
        <v>179998</v>
      </c>
      <c r="AF37" s="70" t="n">
        <f aca="false">IFERROR(__xludf.dummyfunction("""COMPUTED_VALUE"""),114166)</f>
        <v>114166</v>
      </c>
      <c r="AG37" s="70" t="n">
        <f aca="false">IFERROR(__xludf.dummyfunction("""COMPUTED_VALUE"""),313013)</f>
        <v>313013</v>
      </c>
      <c r="AH37" s="70" t="n">
        <f aca="false">IFERROR(__xludf.dummyfunction("""COMPUTED_VALUE"""),25670)</f>
        <v>25670</v>
      </c>
      <c r="AI37" s="70" t="n">
        <f aca="false">IFERROR(__xludf.dummyfunction("""COMPUTED_VALUE"""),841365)</f>
        <v>841365</v>
      </c>
      <c r="AJ37" s="70" t="n">
        <f aca="false">IFERROR(__xludf.dummyfunction("""COMPUTED_VALUE"""),769587)</f>
        <v>769587</v>
      </c>
      <c r="AK37" s="70" t="n">
        <f aca="false">IFERROR(__xludf.dummyfunction("""COMPUTED_VALUE"""),18977)</f>
        <v>18977</v>
      </c>
      <c r="AL37" s="70" t="n">
        <f aca="false">IFERROR(__xludf.dummyfunction("""COMPUTED_VALUE"""),202337)</f>
        <v>202337</v>
      </c>
      <c r="AM37" s="70" t="n">
        <f aca="false">IFERROR(__xludf.dummyfunction("""COMPUTED_VALUE"""),215182)</f>
        <v>215182</v>
      </c>
      <c r="AN37" s="70" t="n">
        <f aca="false">IFERROR(__xludf.dummyfunction("""COMPUTED_VALUE"""),368450)</f>
        <v>368450</v>
      </c>
      <c r="AO37" s="70" t="n">
        <f aca="false">IFERROR(__xludf.dummyfunction("""COMPUTED_VALUE"""),366129)</f>
        <v>366129</v>
      </c>
      <c r="AP37" s="70" t="n">
        <f aca="false">IFERROR(__xludf.dummyfunction("""COMPUTED_VALUE"""),64184)</f>
        <v>64184</v>
      </c>
      <c r="AQ37" s="70" t="n">
        <f aca="false">IFERROR(__xludf.dummyfunction("""COMPUTED_VALUE"""),205013)</f>
        <v>205013</v>
      </c>
      <c r="AR37" s="70" t="n">
        <f aca="false">IFERROR(__xludf.dummyfunction("""COMPUTED_VALUE"""),6206)</f>
        <v>6206</v>
      </c>
      <c r="AS37" s="70" t="n">
        <f aca="false">IFERROR(__xludf.dummyfunction("""COMPUTED_VALUE"""),169767)</f>
        <v>169767</v>
      </c>
      <c r="AT37" s="70" t="n">
        <f aca="false">IFERROR(__xludf.dummyfunction("""COMPUTED_VALUE"""),357948)</f>
        <v>357948</v>
      </c>
      <c r="AU37" s="70" t="n">
        <f aca="false">IFERROR(__xludf.dummyfunction("""COMPUTED_VALUE"""),85368)</f>
        <v>85368</v>
      </c>
      <c r="AV37" s="70" t="n">
        <f aca="false">IFERROR(__xludf.dummyfunction("""COMPUTED_VALUE"""),2726)</f>
        <v>2726</v>
      </c>
      <c r="AW37" s="70" t="n">
        <f aca="false">IFERROR(__xludf.dummyfunction("""COMPUTED_VALUE"""),432071)</f>
        <v>432071</v>
      </c>
      <c r="AX37" s="70" t="n">
        <f aca="false">IFERROR(__xludf.dummyfunction("""COMPUTED_VALUE"""),405282)</f>
        <v>405282</v>
      </c>
      <c r="AY37" s="70" t="n">
        <f aca="false">IFERROR(__xludf.dummyfunction("""COMPUTED_VALUE"""),38)</f>
        <v>38</v>
      </c>
      <c r="AZ37" s="70" t="n">
        <f aca="false">IFERROR(__xludf.dummyfunction("""COMPUTED_VALUE"""),292601)</f>
        <v>292601</v>
      </c>
      <c r="BA37" s="70" t="n">
        <f aca="false">IFERROR(__xludf.dummyfunction("""COMPUTED_VALUE"""),11335)</f>
        <v>11335</v>
      </c>
    </row>
    <row r="38" customFormat="false" ht="15.75" hidden="false" customHeight="false" outlineLevel="0" collapsed="false">
      <c r="A38" s="71" t="str">
        <f aca="false">IFERROR(__xludf.dummyfunction("""COMPUTED_VALUE"""),"building_count")</f>
        <v>building_count</v>
      </c>
      <c r="B38" s="72" t="n">
        <f aca="false">IFERROR(__xludf.dummyfunction("""COMPUTED_VALUE"""),8209655)</f>
        <v>8209655</v>
      </c>
      <c r="C38" s="73" t="n">
        <f aca="false">IFERROR(__xludf.dummyfunction("""COMPUTED_VALUE"""),151969)</f>
        <v>151969</v>
      </c>
      <c r="D38" s="70" t="n">
        <f aca="false">IFERROR(__xludf.dummyfunction("""COMPUTED_VALUE"""),22797)</f>
        <v>22797</v>
      </c>
      <c r="E38" s="70" t="n">
        <f aca="false">IFERROR(__xludf.dummyfunction("""COMPUTED_VALUE"""),115026)</f>
        <v>115026</v>
      </c>
      <c r="F38" s="70" t="n">
        <f aca="false">IFERROR(__xludf.dummyfunction("""COMPUTED_VALUE"""),117176)</f>
        <v>117176</v>
      </c>
      <c r="G38" s="70" t="n">
        <f aca="false">IFERROR(__xludf.dummyfunction("""COMPUTED_VALUE"""),703554)</f>
        <v>703554</v>
      </c>
      <c r="H38" s="70" t="n">
        <f aca="false">IFERROR(__xludf.dummyfunction("""COMPUTED_VALUE"""),131022)</f>
        <v>131022</v>
      </c>
      <c r="I38" s="70" t="n">
        <f aca="false">IFERROR(__xludf.dummyfunction("""COMPUTED_VALUE"""),82053)</f>
        <v>82053</v>
      </c>
      <c r="J38" s="70" t="n">
        <f aca="false">IFERROR(__xludf.dummyfunction("""COMPUTED_VALUE"""),5374)</f>
        <v>5374</v>
      </c>
      <c r="K38" s="70" t="n">
        <f aca="false">IFERROR(__xludf.dummyfunction("""COMPUTED_VALUE"""),28417)</f>
        <v>28417</v>
      </c>
      <c r="L38" s="70" t="n">
        <f aca="false">IFERROR(__xludf.dummyfunction("""COMPUTED_VALUE"""),446096)</f>
        <v>446096</v>
      </c>
      <c r="M38" s="70" t="n">
        <f aca="false">IFERROR(__xludf.dummyfunction("""COMPUTED_VALUE"""),259123)</f>
        <v>259123</v>
      </c>
      <c r="N38" s="70" t="n">
        <f aca="false">IFERROR(__xludf.dummyfunction("""COMPUTED_VALUE"""),18678)</f>
        <v>18678</v>
      </c>
      <c r="O38" s="70" t="n">
        <f aca="false">IFERROR(__xludf.dummyfunction("""COMPUTED_VALUE"""),38460)</f>
        <v>38460</v>
      </c>
      <c r="P38" s="70" t="n">
        <f aca="false">IFERROR(__xludf.dummyfunction("""COMPUTED_VALUE"""),229300)</f>
        <v>229300</v>
      </c>
      <c r="Q38" s="70" t="n">
        <f aca="false">IFERROR(__xludf.dummyfunction("""COMPUTED_VALUE"""),214606)</f>
        <v>214606</v>
      </c>
      <c r="R38" s="70" t="n">
        <f aca="false">IFERROR(__xludf.dummyfunction("""COMPUTED_VALUE"""),156967)</f>
        <v>156967</v>
      </c>
      <c r="S38" s="70" t="n">
        <f aca="false">IFERROR(__xludf.dummyfunction("""COMPUTED_VALUE"""),348597)</f>
        <v>348597</v>
      </c>
      <c r="T38" s="70" t="n">
        <f aca="false">IFERROR(__xludf.dummyfunction("""COMPUTED_VALUE"""),101524)</f>
        <v>101524</v>
      </c>
      <c r="U38" s="70" t="n">
        <f aca="false">IFERROR(__xludf.dummyfunction("""COMPUTED_VALUE"""),57192)</f>
        <v>57192</v>
      </c>
      <c r="V38" s="70" t="n">
        <f aca="false">IFERROR(__xludf.dummyfunction("""COMPUTED_VALUE"""),24889)</f>
        <v>24889</v>
      </c>
      <c r="W38" s="70" t="n">
        <f aca="false">IFERROR(__xludf.dummyfunction("""COMPUTED_VALUE"""),105512)</f>
        <v>105512</v>
      </c>
      <c r="X38" s="70" t="n">
        <f aca="false">IFERROR(__xludf.dummyfunction("""COMPUTED_VALUE"""),150888)</f>
        <v>150888</v>
      </c>
      <c r="Y38" s="70" t="n">
        <f aca="false">IFERROR(__xludf.dummyfunction("""COMPUTED_VALUE"""),126349)</f>
        <v>126349</v>
      </c>
      <c r="Z38" s="70" t="n">
        <f aca="false">IFERROR(__xludf.dummyfunction("""COMPUTED_VALUE"""),142369)</f>
        <v>142369</v>
      </c>
      <c r="AA38" s="70" t="n">
        <f aca="false">IFERROR(__xludf.dummyfunction("""COMPUTED_VALUE"""),91188)</f>
        <v>91188</v>
      </c>
      <c r="AB38" s="70" t="n">
        <f aca="false">IFERROR(__xludf.dummyfunction("""COMPUTED_VALUE"""),147704)</f>
        <v>147704</v>
      </c>
      <c r="AC38" s="70" t="n">
        <f aca="false">IFERROR(__xludf.dummyfunction("""COMPUTED_VALUE"""),54797)</f>
        <v>54797</v>
      </c>
      <c r="AD38" s="70" t="n">
        <f aca="false">IFERROR(__xludf.dummyfunction("""COMPUTED_VALUE"""),91586)</f>
        <v>91586</v>
      </c>
      <c r="AE38" s="70" t="n">
        <f aca="false">IFERROR(__xludf.dummyfunction("""COMPUTED_VALUE"""),43710)</f>
        <v>43710</v>
      </c>
      <c r="AF38" s="70" t="n">
        <f aca="false">IFERROR(__xludf.dummyfunction("""COMPUTED_VALUE"""),35852)</f>
        <v>35852</v>
      </c>
      <c r="AG38" s="70" t="n">
        <f aca="false">IFERROR(__xludf.dummyfunction("""COMPUTED_VALUE"""),203762)</f>
        <v>203762</v>
      </c>
      <c r="AH38" s="70" t="n">
        <f aca="false">IFERROR(__xludf.dummyfunction("""COMPUTED_VALUE"""),35078)</f>
        <v>35078</v>
      </c>
      <c r="AI38" s="70" t="n">
        <f aca="false">IFERROR(__xludf.dummyfunction("""COMPUTED_VALUE"""),480637)</f>
        <v>480637</v>
      </c>
      <c r="AJ38" s="70" t="n">
        <f aca="false">IFERROR(__xludf.dummyfunction("""COMPUTED_VALUE"""),294041)</f>
        <v>294041</v>
      </c>
      <c r="AK38" s="70" t="n">
        <f aca="false">IFERROR(__xludf.dummyfunction("""COMPUTED_VALUE"""),10816)</f>
        <v>10816</v>
      </c>
      <c r="AL38" s="70" t="n">
        <f aca="false">IFERROR(__xludf.dummyfunction("""COMPUTED_VALUE"""),451749)</f>
        <v>451749</v>
      </c>
      <c r="AM38" s="70" t="n">
        <f aca="false">IFERROR(__xludf.dummyfunction("""COMPUTED_VALUE"""),156310)</f>
        <v>156310</v>
      </c>
      <c r="AN38" s="70" t="n">
        <f aca="false">IFERROR(__xludf.dummyfunction("""COMPUTED_VALUE"""),122772)</f>
        <v>122772</v>
      </c>
      <c r="AO38" s="70" t="n">
        <f aca="false">IFERROR(__xludf.dummyfunction("""COMPUTED_VALUE"""),333482)</f>
        <v>333482</v>
      </c>
      <c r="AP38" s="70" t="n">
        <f aca="false">IFERROR(__xludf.dummyfunction("""COMPUTED_VALUE"""),38958)</f>
        <v>38958</v>
      </c>
      <c r="AQ38" s="70" t="n">
        <f aca="false">IFERROR(__xludf.dummyfunction("""COMPUTED_VALUE"""),123282)</f>
        <v>123282</v>
      </c>
      <c r="AR38" s="70" t="n">
        <f aca="false">IFERROR(__xludf.dummyfunction("""COMPUTED_VALUE"""),27781)</f>
        <v>27781</v>
      </c>
      <c r="AS38" s="70" t="n">
        <f aca="false">IFERROR(__xludf.dummyfunction("""COMPUTED_VALUE"""),220264)</f>
        <v>220264</v>
      </c>
      <c r="AT38" s="70" t="n">
        <f aca="false">IFERROR(__xludf.dummyfunction("""COMPUTED_VALUE"""),840408)</f>
        <v>840408</v>
      </c>
      <c r="AU38" s="70" t="n">
        <f aca="false">IFERROR(__xludf.dummyfunction("""COMPUTED_VALUE"""),62527)</f>
        <v>62527</v>
      </c>
      <c r="AV38" s="70" t="n">
        <f aca="false">IFERROR(__xludf.dummyfunction("""COMPUTED_VALUE"""),15903)</f>
        <v>15903</v>
      </c>
      <c r="AW38" s="70" t="n">
        <f aca="false">IFERROR(__xludf.dummyfunction("""COMPUTED_VALUE"""),202221)</f>
        <v>202221</v>
      </c>
      <c r="AX38" s="70" t="n">
        <f aca="false">IFERROR(__xludf.dummyfunction("""COMPUTED_VALUE"""),166560)</f>
        <v>166560</v>
      </c>
      <c r="AY38" s="70" t="n">
        <f aca="false">IFERROR(__xludf.dummyfunction("""COMPUTED_VALUE"""),114776)</f>
        <v>114776</v>
      </c>
      <c r="AZ38" s="70" t="n">
        <f aca="false">IFERROR(__xludf.dummyfunction("""COMPUTED_VALUE"""),45393)</f>
        <v>45393</v>
      </c>
      <c r="BA38" s="70" t="n">
        <f aca="false">IFERROR(__xludf.dummyfunction("""COMPUTED_VALUE"""),20160)</f>
        <v>20160</v>
      </c>
    </row>
    <row r="39" customFormat="false" ht="15.75" hidden="false" customHeight="false" outlineLevel="0" collapsed="false">
      <c r="A39" s="71" t="str">
        <f aca="false">IFERROR(__xludf.dummyfunction("""COMPUTED_VALUE"""),"tax_account_number")</f>
        <v>tax_account_number</v>
      </c>
      <c r="B39" s="72" t="n">
        <f aca="false">IFERROR(__xludf.dummyfunction("""COMPUTED_VALUE"""),0)</f>
        <v>0</v>
      </c>
      <c r="C39" s="73" t="n">
        <f aca="false">IFERROR(__xludf.dummyfunction("""COMPUTED_VALUE"""),0)</f>
        <v>0</v>
      </c>
      <c r="D39" s="70" t="n">
        <f aca="false">IFERROR(__xludf.dummyfunction("""COMPUTED_VALUE"""),0)</f>
        <v>0</v>
      </c>
      <c r="E39" s="70" t="n">
        <f aca="false">IFERROR(__xludf.dummyfunction("""COMPUTED_VALUE"""),0)</f>
        <v>0</v>
      </c>
      <c r="F39" s="70" t="n">
        <f aca="false">IFERROR(__xludf.dummyfunction("""COMPUTED_VALUE"""),0)</f>
        <v>0</v>
      </c>
      <c r="G39" s="70" t="n">
        <f aca="false">IFERROR(__xludf.dummyfunction("""COMPUTED_VALUE"""),0)</f>
        <v>0</v>
      </c>
      <c r="H39" s="70" t="n">
        <f aca="false">IFERROR(__xludf.dummyfunction("""COMPUTED_VALUE"""),0)</f>
        <v>0</v>
      </c>
      <c r="I39" s="70" t="n">
        <f aca="false">IFERROR(__xludf.dummyfunction("""COMPUTED_VALUE"""),0)</f>
        <v>0</v>
      </c>
      <c r="J39" s="70" t="n">
        <f aca="false">IFERROR(__xludf.dummyfunction("""COMPUTED_VALUE"""),0)</f>
        <v>0</v>
      </c>
      <c r="K39" s="70" t="n">
        <f aca="false">IFERROR(__xludf.dummyfunction("""COMPUTED_VALUE"""),0)</f>
        <v>0</v>
      </c>
      <c r="L39" s="70" t="n">
        <f aca="false">IFERROR(__xludf.dummyfunction("""COMPUTED_VALUE"""),0)</f>
        <v>0</v>
      </c>
      <c r="M39" s="70" t="n">
        <f aca="false">IFERROR(__xludf.dummyfunction("""COMPUTED_VALUE"""),0)</f>
        <v>0</v>
      </c>
      <c r="N39" s="70" t="n">
        <f aca="false">IFERROR(__xludf.dummyfunction("""COMPUTED_VALUE"""),0)</f>
        <v>0</v>
      </c>
      <c r="O39" s="70" t="n">
        <f aca="false">IFERROR(__xludf.dummyfunction("""COMPUTED_VALUE"""),0)</f>
        <v>0</v>
      </c>
      <c r="P39" s="70" t="n">
        <f aca="false">IFERROR(__xludf.dummyfunction("""COMPUTED_VALUE"""),0)</f>
        <v>0</v>
      </c>
      <c r="Q39" s="70" t="n">
        <f aca="false">IFERROR(__xludf.dummyfunction("""COMPUTED_VALUE"""),0)</f>
        <v>0</v>
      </c>
      <c r="R39" s="70" t="n">
        <f aca="false">IFERROR(__xludf.dummyfunction("""COMPUTED_VALUE"""),0)</f>
        <v>0</v>
      </c>
      <c r="S39" s="70" t="n">
        <f aca="false">IFERROR(__xludf.dummyfunction("""COMPUTED_VALUE"""),0)</f>
        <v>0</v>
      </c>
      <c r="T39" s="70" t="n">
        <f aca="false">IFERROR(__xludf.dummyfunction("""COMPUTED_VALUE"""),0)</f>
        <v>0</v>
      </c>
      <c r="U39" s="70" t="n">
        <f aca="false">IFERROR(__xludf.dummyfunction("""COMPUTED_VALUE"""),0)</f>
        <v>0</v>
      </c>
      <c r="V39" s="70" t="n">
        <f aca="false">IFERROR(__xludf.dummyfunction("""COMPUTED_VALUE"""),0)</f>
        <v>0</v>
      </c>
      <c r="W39" s="70" t="n">
        <f aca="false">IFERROR(__xludf.dummyfunction("""COMPUTED_VALUE"""),0)</f>
        <v>0</v>
      </c>
      <c r="X39" s="70" t="n">
        <f aca="false">IFERROR(__xludf.dummyfunction("""COMPUTED_VALUE"""),0)</f>
        <v>0</v>
      </c>
      <c r="Y39" s="70" t="n">
        <f aca="false">IFERROR(__xludf.dummyfunction("""COMPUTED_VALUE"""),0)</f>
        <v>0</v>
      </c>
      <c r="Z39" s="70" t="n">
        <f aca="false">IFERROR(__xludf.dummyfunction("""COMPUTED_VALUE"""),0)</f>
        <v>0</v>
      </c>
      <c r="AA39" s="70" t="n">
        <f aca="false">IFERROR(__xludf.dummyfunction("""COMPUTED_VALUE"""),0)</f>
        <v>0</v>
      </c>
      <c r="AB39" s="70" t="n">
        <f aca="false">IFERROR(__xludf.dummyfunction("""COMPUTED_VALUE"""),0)</f>
        <v>0</v>
      </c>
      <c r="AC39" s="70" t="n">
        <f aca="false">IFERROR(__xludf.dummyfunction("""COMPUTED_VALUE"""),0)</f>
        <v>0</v>
      </c>
      <c r="AD39" s="70" t="n">
        <f aca="false">IFERROR(__xludf.dummyfunction("""COMPUTED_VALUE"""),0)</f>
        <v>0</v>
      </c>
      <c r="AE39" s="70" t="n">
        <f aca="false">IFERROR(__xludf.dummyfunction("""COMPUTED_VALUE"""),0)</f>
        <v>0</v>
      </c>
      <c r="AF39" s="70" t="n">
        <f aca="false">IFERROR(__xludf.dummyfunction("""COMPUTED_VALUE"""),0)</f>
        <v>0</v>
      </c>
      <c r="AG39" s="70" t="n">
        <f aca="false">IFERROR(__xludf.dummyfunction("""COMPUTED_VALUE"""),0)</f>
        <v>0</v>
      </c>
      <c r="AH39" s="70" t="n">
        <f aca="false">IFERROR(__xludf.dummyfunction("""COMPUTED_VALUE"""),0)</f>
        <v>0</v>
      </c>
      <c r="AI39" s="70" t="n">
        <f aca="false">IFERROR(__xludf.dummyfunction("""COMPUTED_VALUE"""),0)</f>
        <v>0</v>
      </c>
      <c r="AJ39" s="70" t="n">
        <f aca="false">IFERROR(__xludf.dummyfunction("""COMPUTED_VALUE"""),0)</f>
        <v>0</v>
      </c>
      <c r="AK39" s="70" t="n">
        <f aca="false">IFERROR(__xludf.dummyfunction("""COMPUTED_VALUE"""),0)</f>
        <v>0</v>
      </c>
      <c r="AL39" s="70" t="n">
        <f aca="false">IFERROR(__xludf.dummyfunction("""COMPUTED_VALUE"""),0)</f>
        <v>0</v>
      </c>
      <c r="AM39" s="70" t="n">
        <f aca="false">IFERROR(__xludf.dummyfunction("""COMPUTED_VALUE"""),0)</f>
        <v>0</v>
      </c>
      <c r="AN39" s="70" t="n">
        <f aca="false">IFERROR(__xludf.dummyfunction("""COMPUTED_VALUE"""),0)</f>
        <v>0</v>
      </c>
      <c r="AO39" s="70" t="n">
        <f aca="false">IFERROR(__xludf.dummyfunction("""COMPUTED_VALUE"""),0)</f>
        <v>0</v>
      </c>
      <c r="AP39" s="70" t="n">
        <f aca="false">IFERROR(__xludf.dummyfunction("""COMPUTED_VALUE"""),0)</f>
        <v>0</v>
      </c>
      <c r="AQ39" s="70" t="n">
        <f aca="false">IFERROR(__xludf.dummyfunction("""COMPUTED_VALUE"""),0)</f>
        <v>0</v>
      </c>
      <c r="AR39" s="70" t="n">
        <f aca="false">IFERROR(__xludf.dummyfunction("""COMPUTED_VALUE"""),0)</f>
        <v>0</v>
      </c>
      <c r="AS39" s="70" t="n">
        <f aca="false">IFERROR(__xludf.dummyfunction("""COMPUTED_VALUE"""),0)</f>
        <v>0</v>
      </c>
      <c r="AT39" s="70" t="n">
        <f aca="false">IFERROR(__xludf.dummyfunction("""COMPUTED_VALUE"""),0)</f>
        <v>0</v>
      </c>
      <c r="AU39" s="70" t="n">
        <f aca="false">IFERROR(__xludf.dummyfunction("""COMPUTED_VALUE"""),0)</f>
        <v>0</v>
      </c>
      <c r="AV39" s="70" t="n">
        <f aca="false">IFERROR(__xludf.dummyfunction("""COMPUTED_VALUE"""),0)</f>
        <v>0</v>
      </c>
      <c r="AW39" s="70" t="n">
        <f aca="false">IFERROR(__xludf.dummyfunction("""COMPUTED_VALUE"""),0)</f>
        <v>0</v>
      </c>
      <c r="AX39" s="70" t="n">
        <f aca="false">IFERROR(__xludf.dummyfunction("""COMPUTED_VALUE"""),0)</f>
        <v>0</v>
      </c>
      <c r="AY39" s="70" t="n">
        <f aca="false">IFERROR(__xludf.dummyfunction("""COMPUTED_VALUE"""),0)</f>
        <v>0</v>
      </c>
      <c r="AZ39" s="70" t="n">
        <f aca="false">IFERROR(__xludf.dummyfunction("""COMPUTED_VALUE"""),0)</f>
        <v>0</v>
      </c>
      <c r="BA39" s="70" t="n">
        <f aca="false">IFERROR(__xludf.dummyfunction("""COMPUTED_VALUE"""),0)</f>
        <v>0</v>
      </c>
    </row>
    <row r="40" customFormat="false" ht="15.75" hidden="false" customHeight="false" outlineLevel="0" collapsed="false">
      <c r="A40" s="71" t="str">
        <f aca="false">IFERROR(__xludf.dummyfunction("""COMPUTED_VALUE"""),"legal_description")</f>
        <v>legal_description</v>
      </c>
      <c r="B40" s="72" t="n">
        <f aca="false">IFERROR(__xludf.dummyfunction("""COMPUTED_VALUE"""),0)</f>
        <v>0</v>
      </c>
      <c r="C40" s="73" t="n">
        <f aca="false">IFERROR(__xludf.dummyfunction("""COMPUTED_VALUE"""),0)</f>
        <v>0</v>
      </c>
      <c r="D40" s="70" t="n">
        <f aca="false">IFERROR(__xludf.dummyfunction("""COMPUTED_VALUE"""),0)</f>
        <v>0</v>
      </c>
      <c r="E40" s="70" t="n">
        <f aca="false">IFERROR(__xludf.dummyfunction("""COMPUTED_VALUE"""),0)</f>
        <v>0</v>
      </c>
      <c r="F40" s="70" t="n">
        <f aca="false">IFERROR(__xludf.dummyfunction("""COMPUTED_VALUE"""),0)</f>
        <v>0</v>
      </c>
      <c r="G40" s="70" t="n">
        <f aca="false">IFERROR(__xludf.dummyfunction("""COMPUTED_VALUE"""),0)</f>
        <v>0</v>
      </c>
      <c r="H40" s="70" t="n">
        <f aca="false">IFERROR(__xludf.dummyfunction("""COMPUTED_VALUE"""),0)</f>
        <v>0</v>
      </c>
      <c r="I40" s="70" t="n">
        <f aca="false">IFERROR(__xludf.dummyfunction("""COMPUTED_VALUE"""),0)</f>
        <v>0</v>
      </c>
      <c r="J40" s="70" t="n">
        <f aca="false">IFERROR(__xludf.dummyfunction("""COMPUTED_VALUE"""),0)</f>
        <v>0</v>
      </c>
      <c r="K40" s="70" t="n">
        <f aca="false">IFERROR(__xludf.dummyfunction("""COMPUTED_VALUE"""),0)</f>
        <v>0</v>
      </c>
      <c r="L40" s="70" t="n">
        <f aca="false">IFERROR(__xludf.dummyfunction("""COMPUTED_VALUE"""),0)</f>
        <v>0</v>
      </c>
      <c r="M40" s="70" t="n">
        <f aca="false">IFERROR(__xludf.dummyfunction("""COMPUTED_VALUE"""),0)</f>
        <v>0</v>
      </c>
      <c r="N40" s="70" t="n">
        <f aca="false">IFERROR(__xludf.dummyfunction("""COMPUTED_VALUE"""),0)</f>
        <v>0</v>
      </c>
      <c r="O40" s="70" t="n">
        <f aca="false">IFERROR(__xludf.dummyfunction("""COMPUTED_VALUE"""),0)</f>
        <v>0</v>
      </c>
      <c r="P40" s="70" t="n">
        <f aca="false">IFERROR(__xludf.dummyfunction("""COMPUTED_VALUE"""),0)</f>
        <v>0</v>
      </c>
      <c r="Q40" s="70" t="n">
        <f aca="false">IFERROR(__xludf.dummyfunction("""COMPUTED_VALUE"""),0)</f>
        <v>0</v>
      </c>
      <c r="R40" s="70" t="n">
        <f aca="false">IFERROR(__xludf.dummyfunction("""COMPUTED_VALUE"""),0)</f>
        <v>0</v>
      </c>
      <c r="S40" s="70" t="n">
        <f aca="false">IFERROR(__xludf.dummyfunction("""COMPUTED_VALUE"""),0)</f>
        <v>0</v>
      </c>
      <c r="T40" s="70" t="n">
        <f aca="false">IFERROR(__xludf.dummyfunction("""COMPUTED_VALUE"""),0)</f>
        <v>0</v>
      </c>
      <c r="U40" s="70" t="n">
        <f aca="false">IFERROR(__xludf.dummyfunction("""COMPUTED_VALUE"""),0)</f>
        <v>0</v>
      </c>
      <c r="V40" s="70" t="n">
        <f aca="false">IFERROR(__xludf.dummyfunction("""COMPUTED_VALUE"""),0)</f>
        <v>0</v>
      </c>
      <c r="W40" s="70" t="n">
        <f aca="false">IFERROR(__xludf.dummyfunction("""COMPUTED_VALUE"""),0)</f>
        <v>0</v>
      </c>
      <c r="X40" s="70" t="n">
        <f aca="false">IFERROR(__xludf.dummyfunction("""COMPUTED_VALUE"""),0)</f>
        <v>0</v>
      </c>
      <c r="Y40" s="70" t="n">
        <f aca="false">IFERROR(__xludf.dummyfunction("""COMPUTED_VALUE"""),0)</f>
        <v>0</v>
      </c>
      <c r="Z40" s="70" t="n">
        <f aca="false">IFERROR(__xludf.dummyfunction("""COMPUTED_VALUE"""),0)</f>
        <v>0</v>
      </c>
      <c r="AA40" s="70" t="n">
        <f aca="false">IFERROR(__xludf.dummyfunction("""COMPUTED_VALUE"""),0)</f>
        <v>0</v>
      </c>
      <c r="AB40" s="70" t="n">
        <f aca="false">IFERROR(__xludf.dummyfunction("""COMPUTED_VALUE"""),0)</f>
        <v>0</v>
      </c>
      <c r="AC40" s="70" t="n">
        <f aca="false">IFERROR(__xludf.dummyfunction("""COMPUTED_VALUE"""),0)</f>
        <v>0</v>
      </c>
      <c r="AD40" s="70" t="n">
        <f aca="false">IFERROR(__xludf.dummyfunction("""COMPUTED_VALUE"""),0)</f>
        <v>0</v>
      </c>
      <c r="AE40" s="70" t="n">
        <f aca="false">IFERROR(__xludf.dummyfunction("""COMPUTED_VALUE"""),0)</f>
        <v>0</v>
      </c>
      <c r="AF40" s="70" t="n">
        <f aca="false">IFERROR(__xludf.dummyfunction("""COMPUTED_VALUE"""),0)</f>
        <v>0</v>
      </c>
      <c r="AG40" s="70" t="n">
        <f aca="false">IFERROR(__xludf.dummyfunction("""COMPUTED_VALUE"""),0)</f>
        <v>0</v>
      </c>
      <c r="AH40" s="70" t="n">
        <f aca="false">IFERROR(__xludf.dummyfunction("""COMPUTED_VALUE"""),0)</f>
        <v>0</v>
      </c>
      <c r="AI40" s="70" t="n">
        <f aca="false">IFERROR(__xludf.dummyfunction("""COMPUTED_VALUE"""),0)</f>
        <v>0</v>
      </c>
      <c r="AJ40" s="70" t="n">
        <f aca="false">IFERROR(__xludf.dummyfunction("""COMPUTED_VALUE"""),0)</f>
        <v>0</v>
      </c>
      <c r="AK40" s="70" t="n">
        <f aca="false">IFERROR(__xludf.dummyfunction("""COMPUTED_VALUE"""),0)</f>
        <v>0</v>
      </c>
      <c r="AL40" s="70" t="n">
        <f aca="false">IFERROR(__xludf.dummyfunction("""COMPUTED_VALUE"""),0)</f>
        <v>0</v>
      </c>
      <c r="AM40" s="70" t="n">
        <f aca="false">IFERROR(__xludf.dummyfunction("""COMPUTED_VALUE"""),0)</f>
        <v>0</v>
      </c>
      <c r="AN40" s="70" t="n">
        <f aca="false">IFERROR(__xludf.dummyfunction("""COMPUTED_VALUE"""),0)</f>
        <v>0</v>
      </c>
      <c r="AO40" s="70" t="n">
        <f aca="false">IFERROR(__xludf.dummyfunction("""COMPUTED_VALUE"""),0)</f>
        <v>0</v>
      </c>
      <c r="AP40" s="70" t="n">
        <f aca="false">IFERROR(__xludf.dummyfunction("""COMPUTED_VALUE"""),0)</f>
        <v>0</v>
      </c>
      <c r="AQ40" s="70" t="n">
        <f aca="false">IFERROR(__xludf.dummyfunction("""COMPUTED_VALUE"""),0)</f>
        <v>0</v>
      </c>
      <c r="AR40" s="70" t="n">
        <f aca="false">IFERROR(__xludf.dummyfunction("""COMPUTED_VALUE"""),0)</f>
        <v>0</v>
      </c>
      <c r="AS40" s="70" t="n">
        <f aca="false">IFERROR(__xludf.dummyfunction("""COMPUTED_VALUE"""),0)</f>
        <v>0</v>
      </c>
      <c r="AT40" s="70" t="n">
        <f aca="false">IFERROR(__xludf.dummyfunction("""COMPUTED_VALUE"""),0)</f>
        <v>0</v>
      </c>
      <c r="AU40" s="70" t="n">
        <f aca="false">IFERROR(__xludf.dummyfunction("""COMPUTED_VALUE"""),0)</f>
        <v>0</v>
      </c>
      <c r="AV40" s="70" t="n">
        <f aca="false">IFERROR(__xludf.dummyfunction("""COMPUTED_VALUE"""),0)</f>
        <v>0</v>
      </c>
      <c r="AW40" s="70" t="n">
        <f aca="false">IFERROR(__xludf.dummyfunction("""COMPUTED_VALUE"""),0)</f>
        <v>0</v>
      </c>
      <c r="AX40" s="70" t="n">
        <f aca="false">IFERROR(__xludf.dummyfunction("""COMPUTED_VALUE"""),0)</f>
        <v>0</v>
      </c>
      <c r="AY40" s="70" t="n">
        <f aca="false">IFERROR(__xludf.dummyfunction("""COMPUTED_VALUE"""),0)</f>
        <v>0</v>
      </c>
      <c r="AZ40" s="70" t="n">
        <f aca="false">IFERROR(__xludf.dummyfunction("""COMPUTED_VALUE"""),0)</f>
        <v>0</v>
      </c>
      <c r="BA40" s="70" t="n">
        <f aca="false">IFERROR(__xludf.dummyfunction("""COMPUTED_VALUE"""),0)</f>
        <v>0</v>
      </c>
    </row>
    <row r="41" customFormat="false" ht="15.75" hidden="false" customHeight="false" outlineLevel="0" collapsed="false">
      <c r="A41" s="71" t="str">
        <f aca="false">IFERROR(__xludf.dummyfunction("""COMPUTED_VALUE"""),"lot_code")</f>
        <v>lot_code</v>
      </c>
      <c r="B41" s="72" t="n">
        <f aca="false">IFERROR(__xludf.dummyfunction("""COMPUTED_VALUE"""),0)</f>
        <v>0</v>
      </c>
      <c r="C41" s="73" t="n">
        <f aca="false">IFERROR(__xludf.dummyfunction("""COMPUTED_VALUE"""),0)</f>
        <v>0</v>
      </c>
      <c r="D41" s="70" t="n">
        <f aca="false">IFERROR(__xludf.dummyfunction("""COMPUTED_VALUE"""),0)</f>
        <v>0</v>
      </c>
      <c r="E41" s="70" t="n">
        <f aca="false">IFERROR(__xludf.dummyfunction("""COMPUTED_VALUE"""),0)</f>
        <v>0</v>
      </c>
      <c r="F41" s="70" t="n">
        <f aca="false">IFERROR(__xludf.dummyfunction("""COMPUTED_VALUE"""),0)</f>
        <v>0</v>
      </c>
      <c r="G41" s="70" t="n">
        <f aca="false">IFERROR(__xludf.dummyfunction("""COMPUTED_VALUE"""),0)</f>
        <v>0</v>
      </c>
      <c r="H41" s="70" t="n">
        <f aca="false">IFERROR(__xludf.dummyfunction("""COMPUTED_VALUE"""),0)</f>
        <v>0</v>
      </c>
      <c r="I41" s="70" t="n">
        <f aca="false">IFERROR(__xludf.dummyfunction("""COMPUTED_VALUE"""),0)</f>
        <v>0</v>
      </c>
      <c r="J41" s="70" t="n">
        <f aca="false">IFERROR(__xludf.dummyfunction("""COMPUTED_VALUE"""),0)</f>
        <v>0</v>
      </c>
      <c r="K41" s="70" t="n">
        <f aca="false">IFERROR(__xludf.dummyfunction("""COMPUTED_VALUE"""),0)</f>
        <v>0</v>
      </c>
      <c r="L41" s="70" t="n">
        <f aca="false">IFERROR(__xludf.dummyfunction("""COMPUTED_VALUE"""),0)</f>
        <v>0</v>
      </c>
      <c r="M41" s="70" t="n">
        <f aca="false">IFERROR(__xludf.dummyfunction("""COMPUTED_VALUE"""),0)</f>
        <v>0</v>
      </c>
      <c r="N41" s="70" t="n">
        <f aca="false">IFERROR(__xludf.dummyfunction("""COMPUTED_VALUE"""),0)</f>
        <v>0</v>
      </c>
      <c r="O41" s="70" t="n">
        <f aca="false">IFERROR(__xludf.dummyfunction("""COMPUTED_VALUE"""),0)</f>
        <v>0</v>
      </c>
      <c r="P41" s="70" t="n">
        <f aca="false">IFERROR(__xludf.dummyfunction("""COMPUTED_VALUE"""),0)</f>
        <v>0</v>
      </c>
      <c r="Q41" s="70" t="n">
        <f aca="false">IFERROR(__xludf.dummyfunction("""COMPUTED_VALUE"""),0)</f>
        <v>0</v>
      </c>
      <c r="R41" s="70" t="n">
        <f aca="false">IFERROR(__xludf.dummyfunction("""COMPUTED_VALUE"""),0)</f>
        <v>0</v>
      </c>
      <c r="S41" s="70" t="n">
        <f aca="false">IFERROR(__xludf.dummyfunction("""COMPUTED_VALUE"""),0)</f>
        <v>0</v>
      </c>
      <c r="T41" s="70" t="n">
        <f aca="false">IFERROR(__xludf.dummyfunction("""COMPUTED_VALUE"""),0)</f>
        <v>0</v>
      </c>
      <c r="U41" s="70" t="n">
        <f aca="false">IFERROR(__xludf.dummyfunction("""COMPUTED_VALUE"""),0)</f>
        <v>0</v>
      </c>
      <c r="V41" s="70" t="n">
        <f aca="false">IFERROR(__xludf.dummyfunction("""COMPUTED_VALUE"""),0)</f>
        <v>0</v>
      </c>
      <c r="W41" s="70" t="n">
        <f aca="false">IFERROR(__xludf.dummyfunction("""COMPUTED_VALUE"""),0)</f>
        <v>0</v>
      </c>
      <c r="X41" s="70" t="n">
        <f aca="false">IFERROR(__xludf.dummyfunction("""COMPUTED_VALUE"""),0)</f>
        <v>0</v>
      </c>
      <c r="Y41" s="70" t="n">
        <f aca="false">IFERROR(__xludf.dummyfunction("""COMPUTED_VALUE"""),0)</f>
        <v>0</v>
      </c>
      <c r="Z41" s="70" t="n">
        <f aca="false">IFERROR(__xludf.dummyfunction("""COMPUTED_VALUE"""),0)</f>
        <v>0</v>
      </c>
      <c r="AA41" s="70" t="n">
        <f aca="false">IFERROR(__xludf.dummyfunction("""COMPUTED_VALUE"""),0)</f>
        <v>0</v>
      </c>
      <c r="AB41" s="70" t="n">
        <f aca="false">IFERROR(__xludf.dummyfunction("""COMPUTED_VALUE"""),0)</f>
        <v>0</v>
      </c>
      <c r="AC41" s="70" t="n">
        <f aca="false">IFERROR(__xludf.dummyfunction("""COMPUTED_VALUE"""),0)</f>
        <v>0</v>
      </c>
      <c r="AD41" s="70" t="n">
        <f aca="false">IFERROR(__xludf.dummyfunction("""COMPUTED_VALUE"""),0)</f>
        <v>0</v>
      </c>
      <c r="AE41" s="70" t="n">
        <f aca="false">IFERROR(__xludf.dummyfunction("""COMPUTED_VALUE"""),0)</f>
        <v>0</v>
      </c>
      <c r="AF41" s="70" t="n">
        <f aca="false">IFERROR(__xludf.dummyfunction("""COMPUTED_VALUE"""),0)</f>
        <v>0</v>
      </c>
      <c r="AG41" s="70" t="n">
        <f aca="false">IFERROR(__xludf.dummyfunction("""COMPUTED_VALUE"""),0)</f>
        <v>0</v>
      </c>
      <c r="AH41" s="70" t="n">
        <f aca="false">IFERROR(__xludf.dummyfunction("""COMPUTED_VALUE"""),0)</f>
        <v>0</v>
      </c>
      <c r="AI41" s="70" t="n">
        <f aca="false">IFERROR(__xludf.dummyfunction("""COMPUTED_VALUE"""),0)</f>
        <v>0</v>
      </c>
      <c r="AJ41" s="70" t="n">
        <f aca="false">IFERROR(__xludf.dummyfunction("""COMPUTED_VALUE"""),0)</f>
        <v>0</v>
      </c>
      <c r="AK41" s="70" t="n">
        <f aca="false">IFERROR(__xludf.dummyfunction("""COMPUTED_VALUE"""),0)</f>
        <v>0</v>
      </c>
      <c r="AL41" s="70" t="n">
        <f aca="false">IFERROR(__xludf.dummyfunction("""COMPUTED_VALUE"""),0)</f>
        <v>0</v>
      </c>
      <c r="AM41" s="70" t="n">
        <f aca="false">IFERROR(__xludf.dummyfunction("""COMPUTED_VALUE"""),0)</f>
        <v>0</v>
      </c>
      <c r="AN41" s="70" t="n">
        <f aca="false">IFERROR(__xludf.dummyfunction("""COMPUTED_VALUE"""),0)</f>
        <v>0</v>
      </c>
      <c r="AO41" s="70" t="n">
        <f aca="false">IFERROR(__xludf.dummyfunction("""COMPUTED_VALUE"""),0)</f>
        <v>0</v>
      </c>
      <c r="AP41" s="70" t="n">
        <f aca="false">IFERROR(__xludf.dummyfunction("""COMPUTED_VALUE"""),0)</f>
        <v>0</v>
      </c>
      <c r="AQ41" s="70" t="n">
        <f aca="false">IFERROR(__xludf.dummyfunction("""COMPUTED_VALUE"""),0)</f>
        <v>0</v>
      </c>
      <c r="AR41" s="70" t="n">
        <f aca="false">IFERROR(__xludf.dummyfunction("""COMPUTED_VALUE"""),0)</f>
        <v>0</v>
      </c>
      <c r="AS41" s="70" t="n">
        <f aca="false">IFERROR(__xludf.dummyfunction("""COMPUTED_VALUE"""),0)</f>
        <v>0</v>
      </c>
      <c r="AT41" s="70" t="n">
        <f aca="false">IFERROR(__xludf.dummyfunction("""COMPUTED_VALUE"""),0)</f>
        <v>0</v>
      </c>
      <c r="AU41" s="70" t="n">
        <f aca="false">IFERROR(__xludf.dummyfunction("""COMPUTED_VALUE"""),0)</f>
        <v>0</v>
      </c>
      <c r="AV41" s="70" t="n">
        <f aca="false">IFERROR(__xludf.dummyfunction("""COMPUTED_VALUE"""),0)</f>
        <v>0</v>
      </c>
      <c r="AW41" s="70" t="n">
        <f aca="false">IFERROR(__xludf.dummyfunction("""COMPUTED_VALUE"""),0)</f>
        <v>0</v>
      </c>
      <c r="AX41" s="70" t="n">
        <f aca="false">IFERROR(__xludf.dummyfunction("""COMPUTED_VALUE"""),0)</f>
        <v>0</v>
      </c>
      <c r="AY41" s="70" t="n">
        <f aca="false">IFERROR(__xludf.dummyfunction("""COMPUTED_VALUE"""),0)</f>
        <v>0</v>
      </c>
      <c r="AZ41" s="70" t="n">
        <f aca="false">IFERROR(__xludf.dummyfunction("""COMPUTED_VALUE"""),0)</f>
        <v>0</v>
      </c>
      <c r="BA41" s="70" t="n">
        <f aca="false">IFERROR(__xludf.dummyfunction("""COMPUTED_VALUE"""),0)</f>
        <v>0</v>
      </c>
    </row>
    <row r="42" customFormat="false" ht="15.75" hidden="false" customHeight="false" outlineLevel="0" collapsed="false">
      <c r="A42" s="71" t="str">
        <f aca="false">IFERROR(__xludf.dummyfunction("""COMPUTED_VALUE"""),"lot_number")</f>
        <v>lot_number</v>
      </c>
      <c r="B42" s="72" t="n">
        <f aca="false">IFERROR(__xludf.dummyfunction("""COMPUTED_VALUE"""),0)</f>
        <v>0</v>
      </c>
      <c r="C42" s="73" t="n">
        <f aca="false">IFERROR(__xludf.dummyfunction("""COMPUTED_VALUE"""),0)</f>
        <v>0</v>
      </c>
      <c r="D42" s="70" t="n">
        <f aca="false">IFERROR(__xludf.dummyfunction("""COMPUTED_VALUE"""),0)</f>
        <v>0</v>
      </c>
      <c r="E42" s="70" t="n">
        <f aca="false">IFERROR(__xludf.dummyfunction("""COMPUTED_VALUE"""),0)</f>
        <v>0</v>
      </c>
      <c r="F42" s="70" t="n">
        <f aca="false">IFERROR(__xludf.dummyfunction("""COMPUTED_VALUE"""),0)</f>
        <v>0</v>
      </c>
      <c r="G42" s="70" t="n">
        <f aca="false">IFERROR(__xludf.dummyfunction("""COMPUTED_VALUE"""),0)</f>
        <v>0</v>
      </c>
      <c r="H42" s="70" t="n">
        <f aca="false">IFERROR(__xludf.dummyfunction("""COMPUTED_VALUE"""),0)</f>
        <v>0</v>
      </c>
      <c r="I42" s="70" t="n">
        <f aca="false">IFERROR(__xludf.dummyfunction("""COMPUTED_VALUE"""),0)</f>
        <v>0</v>
      </c>
      <c r="J42" s="70" t="n">
        <f aca="false">IFERROR(__xludf.dummyfunction("""COMPUTED_VALUE"""),0)</f>
        <v>0</v>
      </c>
      <c r="K42" s="70" t="n">
        <f aca="false">IFERROR(__xludf.dummyfunction("""COMPUTED_VALUE"""),0)</f>
        <v>0</v>
      </c>
      <c r="L42" s="70" t="n">
        <f aca="false">IFERROR(__xludf.dummyfunction("""COMPUTED_VALUE"""),0)</f>
        <v>0</v>
      </c>
      <c r="M42" s="70" t="n">
        <f aca="false">IFERROR(__xludf.dummyfunction("""COMPUTED_VALUE"""),0)</f>
        <v>0</v>
      </c>
      <c r="N42" s="70" t="n">
        <f aca="false">IFERROR(__xludf.dummyfunction("""COMPUTED_VALUE"""),0)</f>
        <v>0</v>
      </c>
      <c r="O42" s="70" t="n">
        <f aca="false">IFERROR(__xludf.dummyfunction("""COMPUTED_VALUE"""),0)</f>
        <v>0</v>
      </c>
      <c r="P42" s="70" t="n">
        <f aca="false">IFERROR(__xludf.dummyfunction("""COMPUTED_VALUE"""),0)</f>
        <v>0</v>
      </c>
      <c r="Q42" s="70" t="n">
        <f aca="false">IFERROR(__xludf.dummyfunction("""COMPUTED_VALUE"""),0)</f>
        <v>0</v>
      </c>
      <c r="R42" s="70" t="n">
        <f aca="false">IFERROR(__xludf.dummyfunction("""COMPUTED_VALUE"""),0)</f>
        <v>0</v>
      </c>
      <c r="S42" s="70" t="n">
        <f aca="false">IFERROR(__xludf.dummyfunction("""COMPUTED_VALUE"""),0)</f>
        <v>0</v>
      </c>
      <c r="T42" s="70" t="n">
        <f aca="false">IFERROR(__xludf.dummyfunction("""COMPUTED_VALUE"""),0)</f>
        <v>0</v>
      </c>
      <c r="U42" s="70" t="n">
        <f aca="false">IFERROR(__xludf.dummyfunction("""COMPUTED_VALUE"""),0)</f>
        <v>0</v>
      </c>
      <c r="V42" s="70" t="n">
        <f aca="false">IFERROR(__xludf.dummyfunction("""COMPUTED_VALUE"""),0)</f>
        <v>0</v>
      </c>
      <c r="W42" s="70" t="n">
        <f aca="false">IFERROR(__xludf.dummyfunction("""COMPUTED_VALUE"""),0)</f>
        <v>0</v>
      </c>
      <c r="X42" s="70" t="n">
        <f aca="false">IFERROR(__xludf.dummyfunction("""COMPUTED_VALUE"""),0)</f>
        <v>0</v>
      </c>
      <c r="Y42" s="70" t="n">
        <f aca="false">IFERROR(__xludf.dummyfunction("""COMPUTED_VALUE"""),0)</f>
        <v>0</v>
      </c>
      <c r="Z42" s="70" t="n">
        <f aca="false">IFERROR(__xludf.dummyfunction("""COMPUTED_VALUE"""),0)</f>
        <v>0</v>
      </c>
      <c r="AA42" s="70" t="n">
        <f aca="false">IFERROR(__xludf.dummyfunction("""COMPUTED_VALUE"""),0)</f>
        <v>0</v>
      </c>
      <c r="AB42" s="70" t="n">
        <f aca="false">IFERROR(__xludf.dummyfunction("""COMPUTED_VALUE"""),0)</f>
        <v>0</v>
      </c>
      <c r="AC42" s="70" t="n">
        <f aca="false">IFERROR(__xludf.dummyfunction("""COMPUTED_VALUE"""),0)</f>
        <v>0</v>
      </c>
      <c r="AD42" s="70" t="n">
        <f aca="false">IFERROR(__xludf.dummyfunction("""COMPUTED_VALUE"""),0)</f>
        <v>0</v>
      </c>
      <c r="AE42" s="70" t="n">
        <f aca="false">IFERROR(__xludf.dummyfunction("""COMPUTED_VALUE"""),0)</f>
        <v>0</v>
      </c>
      <c r="AF42" s="70" t="n">
        <f aca="false">IFERROR(__xludf.dummyfunction("""COMPUTED_VALUE"""),0)</f>
        <v>0</v>
      </c>
      <c r="AG42" s="70" t="n">
        <f aca="false">IFERROR(__xludf.dummyfunction("""COMPUTED_VALUE"""),0)</f>
        <v>0</v>
      </c>
      <c r="AH42" s="70" t="n">
        <f aca="false">IFERROR(__xludf.dummyfunction("""COMPUTED_VALUE"""),0)</f>
        <v>0</v>
      </c>
      <c r="AI42" s="70" t="n">
        <f aca="false">IFERROR(__xludf.dummyfunction("""COMPUTED_VALUE"""),0)</f>
        <v>0</v>
      </c>
      <c r="AJ42" s="70" t="n">
        <f aca="false">IFERROR(__xludf.dummyfunction("""COMPUTED_VALUE"""),0)</f>
        <v>0</v>
      </c>
      <c r="AK42" s="70" t="n">
        <f aca="false">IFERROR(__xludf.dummyfunction("""COMPUTED_VALUE"""),0)</f>
        <v>0</v>
      </c>
      <c r="AL42" s="70" t="n">
        <f aca="false">IFERROR(__xludf.dummyfunction("""COMPUTED_VALUE"""),0)</f>
        <v>0</v>
      </c>
      <c r="AM42" s="70" t="n">
        <f aca="false">IFERROR(__xludf.dummyfunction("""COMPUTED_VALUE"""),0)</f>
        <v>0</v>
      </c>
      <c r="AN42" s="70" t="n">
        <f aca="false">IFERROR(__xludf.dummyfunction("""COMPUTED_VALUE"""),0)</f>
        <v>0</v>
      </c>
      <c r="AO42" s="70" t="n">
        <f aca="false">IFERROR(__xludf.dummyfunction("""COMPUTED_VALUE"""),0)</f>
        <v>0</v>
      </c>
      <c r="AP42" s="70" t="n">
        <f aca="false">IFERROR(__xludf.dummyfunction("""COMPUTED_VALUE"""),0)</f>
        <v>0</v>
      </c>
      <c r="AQ42" s="70" t="n">
        <f aca="false">IFERROR(__xludf.dummyfunction("""COMPUTED_VALUE"""),0)</f>
        <v>0</v>
      </c>
      <c r="AR42" s="70" t="n">
        <f aca="false">IFERROR(__xludf.dummyfunction("""COMPUTED_VALUE"""),0)</f>
        <v>0</v>
      </c>
      <c r="AS42" s="70" t="n">
        <f aca="false">IFERROR(__xludf.dummyfunction("""COMPUTED_VALUE"""),0)</f>
        <v>0</v>
      </c>
      <c r="AT42" s="70" t="n">
        <f aca="false">IFERROR(__xludf.dummyfunction("""COMPUTED_VALUE"""),0)</f>
        <v>0</v>
      </c>
      <c r="AU42" s="70" t="n">
        <f aca="false">IFERROR(__xludf.dummyfunction("""COMPUTED_VALUE"""),0)</f>
        <v>0</v>
      </c>
      <c r="AV42" s="70" t="n">
        <f aca="false">IFERROR(__xludf.dummyfunction("""COMPUTED_VALUE"""),0)</f>
        <v>0</v>
      </c>
      <c r="AW42" s="70" t="n">
        <f aca="false">IFERROR(__xludf.dummyfunction("""COMPUTED_VALUE"""),0)</f>
        <v>0</v>
      </c>
      <c r="AX42" s="70" t="n">
        <f aca="false">IFERROR(__xludf.dummyfunction("""COMPUTED_VALUE"""),0)</f>
        <v>0</v>
      </c>
      <c r="AY42" s="70" t="n">
        <f aca="false">IFERROR(__xludf.dummyfunction("""COMPUTED_VALUE"""),0)</f>
        <v>0</v>
      </c>
      <c r="AZ42" s="70" t="n">
        <f aca="false">IFERROR(__xludf.dummyfunction("""COMPUTED_VALUE"""),0)</f>
        <v>0</v>
      </c>
      <c r="BA42" s="70" t="n">
        <f aca="false">IFERROR(__xludf.dummyfunction("""COMPUTED_VALUE"""),0)</f>
        <v>0</v>
      </c>
    </row>
    <row r="43" customFormat="false" ht="15.75" hidden="false" customHeight="false" outlineLevel="0" collapsed="false">
      <c r="A43" s="71" t="str">
        <f aca="false">IFERROR(__xludf.dummyfunction("""COMPUTED_VALUE"""),"municipality")</f>
        <v>municipality</v>
      </c>
      <c r="B43" s="72" t="n">
        <f aca="false">IFERROR(__xludf.dummyfunction("""COMPUTED_VALUE"""),29004690)</f>
        <v>29004690</v>
      </c>
      <c r="C43" s="73" t="n">
        <f aca="false">IFERROR(__xludf.dummyfunction("""COMPUTED_VALUE"""),769611)</f>
        <v>769611</v>
      </c>
      <c r="D43" s="70" t="n">
        <f aca="false">IFERROR(__xludf.dummyfunction("""COMPUTED_VALUE"""),111235)</f>
        <v>111235</v>
      </c>
      <c r="E43" s="70" t="n">
        <f aca="false">IFERROR(__xludf.dummyfunction("""COMPUTED_VALUE"""),340379)</f>
        <v>340379</v>
      </c>
      <c r="F43" s="70" t="n">
        <f aca="false">IFERROR(__xludf.dummyfunction("""COMPUTED_VALUE"""),978241)</f>
        <v>978241</v>
      </c>
      <c r="G43" s="70" t="n">
        <f aca="false">IFERROR(__xludf.dummyfunction("""COMPUTED_VALUE"""),819607)</f>
        <v>819607</v>
      </c>
      <c r="H43" s="70" t="n">
        <f aca="false">IFERROR(__xludf.dummyfunction("""COMPUTED_VALUE"""),396258)</f>
        <v>396258</v>
      </c>
      <c r="I43" s="70" t="n">
        <f aca="false">IFERROR(__xludf.dummyfunction("""COMPUTED_VALUE"""),0)</f>
        <v>0</v>
      </c>
      <c r="J43" s="70" t="n">
        <f aca="false">IFERROR(__xludf.dummyfunction("""COMPUTED_VALUE"""),73388)</f>
        <v>73388</v>
      </c>
      <c r="K43" s="70" t="n">
        <f aca="false">IFERROR(__xludf.dummyfunction("""COMPUTED_VALUE"""),37808)</f>
        <v>37808</v>
      </c>
      <c r="L43" s="70" t="n">
        <f aca="false">IFERROR(__xludf.dummyfunction("""COMPUTED_VALUE"""),1870332)</f>
        <v>1870332</v>
      </c>
      <c r="M43" s="70" t="n">
        <f aca="false">IFERROR(__xludf.dummyfunction("""COMPUTED_VALUE"""),630140)</f>
        <v>630140</v>
      </c>
      <c r="N43" s="70" t="n">
        <f aca="false">IFERROR(__xludf.dummyfunction("""COMPUTED_VALUE"""),122082)</f>
        <v>122082</v>
      </c>
      <c r="O43" s="70" t="n">
        <f aca="false">IFERROR(__xludf.dummyfunction("""COMPUTED_VALUE"""),42943)</f>
        <v>42943</v>
      </c>
      <c r="P43" s="70" t="n">
        <f aca="false">IFERROR(__xludf.dummyfunction("""COMPUTED_VALUE"""),1291105)</f>
        <v>1291105</v>
      </c>
      <c r="Q43" s="70" t="n">
        <f aca="false">IFERROR(__xludf.dummyfunction("""COMPUTED_VALUE"""),972582)</f>
        <v>972582</v>
      </c>
      <c r="R43" s="70" t="n">
        <f aca="false">IFERROR(__xludf.dummyfunction("""COMPUTED_VALUE"""),974397)</f>
        <v>974397</v>
      </c>
      <c r="S43" s="70" t="n">
        <f aca="false">IFERROR(__xludf.dummyfunction("""COMPUTED_VALUE"""),370755)</f>
        <v>370755</v>
      </c>
      <c r="T43" s="70" t="n">
        <f aca="false">IFERROR(__xludf.dummyfunction("""COMPUTED_VALUE"""),344703)</f>
        <v>344703</v>
      </c>
      <c r="U43" s="70" t="n">
        <f aca="false">IFERROR(__xludf.dummyfunction("""COMPUTED_VALUE"""),700565)</f>
        <v>700565</v>
      </c>
      <c r="V43" s="70" t="n">
        <f aca="false">IFERROR(__xludf.dummyfunction("""COMPUTED_VALUE"""),0)</f>
        <v>0</v>
      </c>
      <c r="W43" s="70" t="n">
        <f aca="false">IFERROR(__xludf.dummyfunction("""COMPUTED_VALUE"""),48020)</f>
        <v>48020</v>
      </c>
      <c r="X43" s="70" t="n">
        <f aca="false">IFERROR(__xludf.dummyfunction("""COMPUTED_VALUE"""),372842)</f>
        <v>372842</v>
      </c>
      <c r="Y43" s="70" t="n">
        <f aca="false">IFERROR(__xludf.dummyfunction("""COMPUTED_VALUE"""),900208)</f>
        <v>900208</v>
      </c>
      <c r="Z43" s="70" t="n">
        <f aca="false">IFERROR(__xludf.dummyfunction("""COMPUTED_VALUE"""),860476)</f>
        <v>860476</v>
      </c>
      <c r="AA43" s="70" t="n">
        <f aca="false">IFERROR(__xludf.dummyfunction("""COMPUTED_VALUE"""),422199)</f>
        <v>422199</v>
      </c>
      <c r="AB43" s="70" t="n">
        <f aca="false">IFERROR(__xludf.dummyfunction("""COMPUTED_VALUE"""),524782)</f>
        <v>524782</v>
      </c>
      <c r="AC43" s="70" t="n">
        <f aca="false">IFERROR(__xludf.dummyfunction("""COMPUTED_VALUE"""),433026)</f>
        <v>433026</v>
      </c>
      <c r="AD43" s="70" t="n">
        <f aca="false">IFERROR(__xludf.dummyfunction("""COMPUTED_VALUE"""),277774)</f>
        <v>277774</v>
      </c>
      <c r="AE43" s="70" t="n">
        <f aca="false">IFERROR(__xludf.dummyfunction("""COMPUTED_VALUE"""),190662)</f>
        <v>190662</v>
      </c>
      <c r="AF43" s="70" t="n">
        <f aca="false">IFERROR(__xludf.dummyfunction("""COMPUTED_VALUE"""),0)</f>
        <v>0</v>
      </c>
      <c r="AG43" s="70" t="n">
        <f aca="false">IFERROR(__xludf.dummyfunction("""COMPUTED_VALUE"""),516774)</f>
        <v>516774</v>
      </c>
      <c r="AH43" s="70" t="n">
        <f aca="false">IFERROR(__xludf.dummyfunction("""COMPUTED_VALUE"""),520285)</f>
        <v>520285</v>
      </c>
      <c r="AI43" s="70" t="n">
        <f aca="false">IFERROR(__xludf.dummyfunction("""COMPUTED_VALUE"""),1154938)</f>
        <v>1154938</v>
      </c>
      <c r="AJ43" s="70" t="n">
        <f aca="false">IFERROR(__xludf.dummyfunction("""COMPUTED_VALUE"""),957399)</f>
        <v>957399</v>
      </c>
      <c r="AK43" s="70" t="n">
        <f aca="false">IFERROR(__xludf.dummyfunction("""COMPUTED_VALUE"""),401206)</f>
        <v>401206</v>
      </c>
      <c r="AL43" s="70" t="n">
        <f aca="false">IFERROR(__xludf.dummyfunction("""COMPUTED_VALUE"""),1785336)</f>
        <v>1785336</v>
      </c>
      <c r="AM43" s="70" t="n">
        <f aca="false">IFERROR(__xludf.dummyfunction("""COMPUTED_VALUE"""),313585)</f>
        <v>313585</v>
      </c>
      <c r="AN43" s="70" t="n">
        <f aca="false">IFERROR(__xludf.dummyfunction("""COMPUTED_VALUE"""),178466)</f>
        <v>178466</v>
      </c>
      <c r="AO43" s="70" t="n">
        <f aca="false">IFERROR(__xludf.dummyfunction("""COMPUTED_VALUE"""),1230411)</f>
        <v>1230411</v>
      </c>
      <c r="AP43" s="70" t="n">
        <f aca="false">IFERROR(__xludf.dummyfunction("""COMPUTED_VALUE"""),79678)</f>
        <v>79678</v>
      </c>
      <c r="AQ43" s="70" t="n">
        <f aca="false">IFERROR(__xludf.dummyfunction("""COMPUTED_VALUE"""),521553)</f>
        <v>521553</v>
      </c>
      <c r="AR43" s="70" t="n">
        <f aca="false">IFERROR(__xludf.dummyfunction("""COMPUTED_VALUE"""),288118)</f>
        <v>288118</v>
      </c>
      <c r="AS43" s="70" t="n">
        <f aca="false">IFERROR(__xludf.dummyfunction("""COMPUTED_VALUE"""),218228)</f>
        <v>218228</v>
      </c>
      <c r="AT43" s="70" t="n">
        <f aca="false">IFERROR(__xludf.dummyfunction("""COMPUTED_VALUE"""),2669971)</f>
        <v>2669971</v>
      </c>
      <c r="AU43" s="70" t="n">
        <f aca="false">IFERROR(__xludf.dummyfunction("""COMPUTED_VALUE"""),331922)</f>
        <v>331922</v>
      </c>
      <c r="AV43" s="70" t="n">
        <f aca="false">IFERROR(__xludf.dummyfunction("""COMPUTED_VALUE"""),34759)</f>
        <v>34759</v>
      </c>
      <c r="AW43" s="70" t="n">
        <f aca="false">IFERROR(__xludf.dummyfunction("""COMPUTED_VALUE"""),469773)</f>
        <v>469773</v>
      </c>
      <c r="AX43" s="70" t="n">
        <f aca="false">IFERROR(__xludf.dummyfunction("""COMPUTED_VALUE"""),593308)</f>
        <v>593308</v>
      </c>
      <c r="AY43" s="70" t="n">
        <f aca="false">IFERROR(__xludf.dummyfunction("""COMPUTED_VALUE"""),668634)</f>
        <v>668634</v>
      </c>
      <c r="AZ43" s="70" t="n">
        <f aca="false">IFERROR(__xludf.dummyfunction("""COMPUTED_VALUE"""),1120961)</f>
        <v>1120961</v>
      </c>
      <c r="BA43" s="70" t="n">
        <f aca="false">IFERROR(__xludf.dummyfunction("""COMPUTED_VALUE"""),73265)</f>
        <v>73265</v>
      </c>
    </row>
    <row r="44" customFormat="false" ht="15.75" hidden="false" customHeight="false" outlineLevel="0" collapsed="false">
      <c r="A44" s="71" t="str">
        <f aca="false">IFERROR(__xludf.dummyfunction("""COMPUTED_VALUE"""),"subdivision")</f>
        <v>subdivision</v>
      </c>
      <c r="B44" s="72" t="n">
        <f aca="false">IFERROR(__xludf.dummyfunction("""COMPUTED_VALUE"""),14017125)</f>
        <v>14017125</v>
      </c>
      <c r="C44" s="73" t="n">
        <f aca="false">IFERROR(__xludf.dummyfunction("""COMPUTED_VALUE"""),266500)</f>
        <v>266500</v>
      </c>
      <c r="D44" s="70" t="n">
        <f aca="false">IFERROR(__xludf.dummyfunction("""COMPUTED_VALUE"""),59956)</f>
        <v>59956</v>
      </c>
      <c r="E44" s="70" t="n">
        <f aca="false">IFERROR(__xludf.dummyfunction("""COMPUTED_VALUE"""),613569)</f>
        <v>613569</v>
      </c>
      <c r="F44" s="70" t="n">
        <f aca="false">IFERROR(__xludf.dummyfunction("""COMPUTED_VALUE"""),442969)</f>
        <v>442969</v>
      </c>
      <c r="G44" s="70" t="n">
        <f aca="false">IFERROR(__xludf.dummyfunction("""COMPUTED_VALUE"""),893546)</f>
        <v>893546</v>
      </c>
      <c r="H44" s="70" t="n">
        <f aca="false">IFERROR(__xludf.dummyfunction("""COMPUTED_VALUE"""),422116)</f>
        <v>422116</v>
      </c>
      <c r="I44" s="70" t="n">
        <f aca="false">IFERROR(__xludf.dummyfunction("""COMPUTED_VALUE"""),2211)</f>
        <v>2211</v>
      </c>
      <c r="J44" s="70" t="n">
        <f aca="false">IFERROR(__xludf.dummyfunction("""COMPUTED_VALUE"""),59218)</f>
        <v>59218</v>
      </c>
      <c r="K44" s="70" t="n">
        <f aca="false">IFERROR(__xludf.dummyfunction("""COMPUTED_VALUE"""),22360)</f>
        <v>22360</v>
      </c>
      <c r="L44" s="70" t="n">
        <f aca="false">IFERROR(__xludf.dummyfunction("""COMPUTED_VALUE"""),1603823)</f>
        <v>1603823</v>
      </c>
      <c r="M44" s="70" t="n">
        <f aca="false">IFERROR(__xludf.dummyfunction("""COMPUTED_VALUE"""),209220)</f>
        <v>209220</v>
      </c>
      <c r="N44" s="70" t="n">
        <f aca="false">IFERROR(__xludf.dummyfunction("""COMPUTED_VALUE"""),68928)</f>
        <v>68928</v>
      </c>
      <c r="O44" s="70" t="n">
        <f aca="false">IFERROR(__xludf.dummyfunction("""COMPUTED_VALUE"""),71628)</f>
        <v>71628</v>
      </c>
      <c r="P44" s="70" t="n">
        <f aca="false">IFERROR(__xludf.dummyfunction("""COMPUTED_VALUE"""),582557)</f>
        <v>582557</v>
      </c>
      <c r="Q44" s="70" t="n">
        <f aca="false">IFERROR(__xludf.dummyfunction("""COMPUTED_VALUE"""),281731)</f>
        <v>281731</v>
      </c>
      <c r="R44" s="70" t="n">
        <f aca="false">IFERROR(__xludf.dummyfunction("""COMPUTED_VALUE"""),113062)</f>
        <v>113062</v>
      </c>
      <c r="S44" s="70" t="n">
        <f aca="false">IFERROR(__xludf.dummyfunction("""COMPUTED_VALUE"""),210180)</f>
        <v>210180</v>
      </c>
      <c r="T44" s="70" t="n">
        <f aca="false">IFERROR(__xludf.dummyfunction("""COMPUTED_VALUE"""),69069)</f>
        <v>69069</v>
      </c>
      <c r="U44" s="70" t="n">
        <f aca="false">IFERROR(__xludf.dummyfunction("""COMPUTED_VALUE"""),352736)</f>
        <v>352736</v>
      </c>
      <c r="V44" s="70" t="n">
        <f aca="false">IFERROR(__xludf.dummyfunction("""COMPUTED_VALUE"""),5054)</f>
        <v>5054</v>
      </c>
      <c r="W44" s="70" t="n">
        <f aca="false">IFERROR(__xludf.dummyfunction("""COMPUTED_VALUE"""),128414)</f>
        <v>128414</v>
      </c>
      <c r="X44" s="70" t="n">
        <f aca="false">IFERROR(__xludf.dummyfunction("""COMPUTED_VALUE"""),18579)</f>
        <v>18579</v>
      </c>
      <c r="Y44" s="70" t="n">
        <f aca="false">IFERROR(__xludf.dummyfunction("""COMPUTED_VALUE"""),393261)</f>
        <v>393261</v>
      </c>
      <c r="Z44" s="70" t="n">
        <f aca="false">IFERROR(__xludf.dummyfunction("""COMPUTED_VALUE"""),302019)</f>
        <v>302019</v>
      </c>
      <c r="AA44" s="70" t="n">
        <f aca="false">IFERROR(__xludf.dummyfunction("""COMPUTED_VALUE"""),100568)</f>
        <v>100568</v>
      </c>
      <c r="AB44" s="70" t="n">
        <f aca="false">IFERROR(__xludf.dummyfunction("""COMPUTED_VALUE"""),225431)</f>
        <v>225431</v>
      </c>
      <c r="AC44" s="70" t="n">
        <f aca="false">IFERROR(__xludf.dummyfunction("""COMPUTED_VALUE"""),102833)</f>
        <v>102833</v>
      </c>
      <c r="AD44" s="70" t="n">
        <f aca="false">IFERROR(__xludf.dummyfunction("""COMPUTED_VALUE"""),84776)</f>
        <v>84776</v>
      </c>
      <c r="AE44" s="70" t="n">
        <f aca="false">IFERROR(__xludf.dummyfunction("""COMPUTED_VALUE"""),135245)</f>
        <v>135245</v>
      </c>
      <c r="AF44" s="70" t="n">
        <f aca="false">IFERROR(__xludf.dummyfunction("""COMPUTED_VALUE"""),11159)</f>
        <v>11159</v>
      </c>
      <c r="AG44" s="70" t="n">
        <f aca="false">IFERROR(__xludf.dummyfunction("""COMPUTED_VALUE"""),59974)</f>
        <v>59974</v>
      </c>
      <c r="AH44" s="70" t="n">
        <f aca="false">IFERROR(__xludf.dummyfunction("""COMPUTED_VALUE"""),447115)</f>
        <v>447115</v>
      </c>
      <c r="AI44" s="70" t="n">
        <f aca="false">IFERROR(__xludf.dummyfunction("""COMPUTED_VALUE"""),156705)</f>
        <v>156705</v>
      </c>
      <c r="AJ44" s="70" t="n">
        <f aca="false">IFERROR(__xludf.dummyfunction("""COMPUTED_VALUE"""),413167)</f>
        <v>413167</v>
      </c>
      <c r="AK44" s="70" t="n">
        <f aca="false">IFERROR(__xludf.dummyfunction("""COMPUTED_VALUE"""),108042)</f>
        <v>108042</v>
      </c>
      <c r="AL44" s="70" t="n">
        <f aca="false">IFERROR(__xludf.dummyfunction("""COMPUTED_VALUE"""),761146)</f>
        <v>761146</v>
      </c>
      <c r="AM44" s="70" t="n">
        <f aca="false">IFERROR(__xludf.dummyfunction("""COMPUTED_VALUE"""),222528)</f>
        <v>222528</v>
      </c>
      <c r="AN44" s="70" t="n">
        <f aca="false">IFERROR(__xludf.dummyfunction("""COMPUTED_VALUE"""),161670)</f>
        <v>161670</v>
      </c>
      <c r="AO44" s="70" t="n">
        <f aca="false">IFERROR(__xludf.dummyfunction("""COMPUTED_VALUE"""),246677)</f>
        <v>246677</v>
      </c>
      <c r="AP44" s="70" t="n">
        <f aca="false">IFERROR(__xludf.dummyfunction("""COMPUTED_VALUE"""),313)</f>
        <v>313</v>
      </c>
      <c r="AQ44" s="70" t="n">
        <f aca="false">IFERROR(__xludf.dummyfunction("""COMPUTED_VALUE"""),256452)</f>
        <v>256452</v>
      </c>
      <c r="AR44" s="70" t="n">
        <f aca="false">IFERROR(__xludf.dummyfunction("""COMPUTED_VALUE"""),50846)</f>
        <v>50846</v>
      </c>
      <c r="AS44" s="70" t="n">
        <f aca="false">IFERROR(__xludf.dummyfunction("""COMPUTED_VALUE"""),207683)</f>
        <v>207683</v>
      </c>
      <c r="AT44" s="70" t="n">
        <f aca="false">IFERROR(__xludf.dummyfunction("""COMPUTED_VALUE"""),2125680)</f>
        <v>2125680</v>
      </c>
      <c r="AU44" s="70" t="n">
        <f aca="false">IFERROR(__xludf.dummyfunction("""COMPUTED_VALUE"""),123729)</f>
        <v>123729</v>
      </c>
      <c r="AV44" s="70" t="n">
        <f aca="false">IFERROR(__xludf.dummyfunction("""COMPUTED_VALUE"""),45)</f>
        <v>45</v>
      </c>
      <c r="AW44" s="70" t="n">
        <f aca="false">IFERROR(__xludf.dummyfunction("""COMPUTED_VALUE"""),222282)</f>
        <v>222282</v>
      </c>
      <c r="AX44" s="70" t="n">
        <f aca="false">IFERROR(__xludf.dummyfunction("""COMPUTED_VALUE"""),300600)</f>
        <v>300600</v>
      </c>
      <c r="AY44" s="70" t="n">
        <f aca="false">IFERROR(__xludf.dummyfunction("""COMPUTED_VALUE"""),124865)</f>
        <v>124865</v>
      </c>
      <c r="AZ44" s="70" t="n">
        <f aca="false">IFERROR(__xludf.dummyfunction("""COMPUTED_VALUE"""),126721)</f>
        <v>126721</v>
      </c>
      <c r="BA44" s="70" t="n">
        <f aca="false">IFERROR(__xludf.dummyfunction("""COMPUTED_VALUE"""),48167)</f>
        <v>48167</v>
      </c>
    </row>
    <row r="45" customFormat="false" ht="15.75" hidden="false" customHeight="false" outlineLevel="0" collapsed="false">
      <c r="A45" s="71" t="str">
        <f aca="false">IFERROR(__xludf.dummyfunction("""COMPUTED_VALUE"""),"section_township_range")</f>
        <v>section_township_range</v>
      </c>
      <c r="B45" s="72" t="n">
        <f aca="false">IFERROR(__xludf.dummyfunction("""COMPUTED_VALUE"""),17382910)</f>
        <v>17382910</v>
      </c>
      <c r="C45" s="73" t="n">
        <f aca="false">IFERROR(__xludf.dummyfunction("""COMPUTED_VALUE"""),768482)</f>
        <v>768482</v>
      </c>
      <c r="D45" s="70" t="n">
        <f aca="false">IFERROR(__xludf.dummyfunction("""COMPUTED_VALUE"""),70636)</f>
        <v>70636</v>
      </c>
      <c r="E45" s="70" t="n">
        <f aca="false">IFERROR(__xludf.dummyfunction("""COMPUTED_VALUE"""),733087)</f>
        <v>733087</v>
      </c>
      <c r="F45" s="70" t="n">
        <f aca="false">IFERROR(__xludf.dummyfunction("""COMPUTED_VALUE"""),926290)</f>
        <v>926290</v>
      </c>
      <c r="G45" s="70" t="n">
        <f aca="false">IFERROR(__xludf.dummyfunction("""COMPUTED_VALUE"""),470309)</f>
        <v>470309</v>
      </c>
      <c r="H45" s="70" t="n">
        <f aca="false">IFERROR(__xludf.dummyfunction("""COMPUTED_VALUE"""),486423)</f>
        <v>486423</v>
      </c>
      <c r="I45" s="70" t="n">
        <f aca="false">IFERROR(__xludf.dummyfunction("""COMPUTED_VALUE"""),0)</f>
        <v>0</v>
      </c>
      <c r="J45" s="70" t="n">
        <f aca="false">IFERROR(__xludf.dummyfunction("""COMPUTED_VALUE"""),0)</f>
        <v>0</v>
      </c>
      <c r="K45" s="70" t="n">
        <f aca="false">IFERROR(__xludf.dummyfunction("""COMPUTED_VALUE"""),0)</f>
        <v>0</v>
      </c>
      <c r="L45" s="70" t="n">
        <f aca="false">IFERROR(__xludf.dummyfunction("""COMPUTED_VALUE"""),2195566)</f>
        <v>2195566</v>
      </c>
      <c r="M45" s="70" t="n">
        <f aca="false">IFERROR(__xludf.dummyfunction("""COMPUTED_VALUE"""),3304)</f>
        <v>3304</v>
      </c>
      <c r="N45" s="70" t="n">
        <f aca="false">IFERROR(__xludf.dummyfunction("""COMPUTED_VALUE"""),0)</f>
        <v>0</v>
      </c>
      <c r="O45" s="70" t="n">
        <f aca="false">IFERROR(__xludf.dummyfunction("""COMPUTED_VALUE"""),207631)</f>
        <v>207631</v>
      </c>
      <c r="P45" s="70" t="n">
        <f aca="false">IFERROR(__xludf.dummyfunction("""COMPUTED_VALUE"""),1058148)</f>
        <v>1058148</v>
      </c>
      <c r="Q45" s="70" t="n">
        <f aca="false">IFERROR(__xludf.dummyfunction("""COMPUTED_VALUE"""),565566)</f>
        <v>565566</v>
      </c>
      <c r="R45" s="70" t="n">
        <f aca="false">IFERROR(__xludf.dummyfunction("""COMPUTED_VALUE"""),937936)</f>
        <v>937936</v>
      </c>
      <c r="S45" s="70" t="n">
        <f aca="false">IFERROR(__xludf.dummyfunction("""COMPUTED_VALUE"""),480014)</f>
        <v>480014</v>
      </c>
      <c r="T45" s="70" t="n">
        <f aca="false">IFERROR(__xludf.dummyfunction("""COMPUTED_VALUE"""),0)</f>
        <v>0</v>
      </c>
      <c r="U45" s="70" t="n">
        <f aca="false">IFERROR(__xludf.dummyfunction("""COMPUTED_VALUE"""),537663)</f>
        <v>537663</v>
      </c>
      <c r="V45" s="70" t="n">
        <f aca="false">IFERROR(__xludf.dummyfunction("""COMPUTED_VALUE"""),0)</f>
        <v>0</v>
      </c>
      <c r="W45" s="70" t="n">
        <f aca="false">IFERROR(__xludf.dummyfunction("""COMPUTED_VALUE"""),0)</f>
        <v>0</v>
      </c>
      <c r="X45" s="70" t="n">
        <f aca="false">IFERROR(__xludf.dummyfunction("""COMPUTED_VALUE"""),0)</f>
        <v>0</v>
      </c>
      <c r="Y45" s="70" t="n">
        <f aca="false">IFERROR(__xludf.dummyfunction("""COMPUTED_VALUE"""),541882)</f>
        <v>541882</v>
      </c>
      <c r="Z45" s="70" t="n">
        <f aca="false">IFERROR(__xludf.dummyfunction("""COMPUTED_VALUE"""),773469)</f>
        <v>773469</v>
      </c>
      <c r="AA45" s="70" t="n">
        <f aca="false">IFERROR(__xludf.dummyfunction("""COMPUTED_VALUE"""),529608)</f>
        <v>529608</v>
      </c>
      <c r="AB45" s="70" t="n">
        <f aca="false">IFERROR(__xludf.dummyfunction("""COMPUTED_VALUE"""),598556)</f>
        <v>598556</v>
      </c>
      <c r="AC45" s="70" t="n">
        <f aca="false">IFERROR(__xludf.dummyfunction("""COMPUTED_VALUE"""),441406)</f>
        <v>441406</v>
      </c>
      <c r="AD45" s="70" t="n">
        <f aca="false">IFERROR(__xludf.dummyfunction("""COMPUTED_VALUE"""),315703)</f>
        <v>315703</v>
      </c>
      <c r="AE45" s="70" t="n">
        <f aca="false">IFERROR(__xludf.dummyfunction("""COMPUTED_VALUE"""),193770)</f>
        <v>193770</v>
      </c>
      <c r="AF45" s="70" t="n">
        <f aca="false">IFERROR(__xludf.dummyfunction("""COMPUTED_VALUE"""),0)</f>
        <v>0</v>
      </c>
      <c r="AG45" s="70" t="n">
        <f aca="false">IFERROR(__xludf.dummyfunction("""COMPUTED_VALUE"""),0)</f>
        <v>0</v>
      </c>
      <c r="AH45" s="70" t="n">
        <f aca="false">IFERROR(__xludf.dummyfunction("""COMPUTED_VALUE"""),226675)</f>
        <v>226675</v>
      </c>
      <c r="AI45" s="70" t="n">
        <f aca="false">IFERROR(__xludf.dummyfunction("""COMPUTED_VALUE"""),245596)</f>
        <v>245596</v>
      </c>
      <c r="AJ45" s="70" t="n">
        <f aca="false">IFERROR(__xludf.dummyfunction("""COMPUTED_VALUE"""),17104)</f>
        <v>17104</v>
      </c>
      <c r="AK45" s="70" t="n">
        <f aca="false">IFERROR(__xludf.dummyfunction("""COMPUTED_VALUE"""),363882)</f>
        <v>363882</v>
      </c>
      <c r="AL45" s="70" t="n">
        <f aca="false">IFERROR(__xludf.dummyfunction("""COMPUTED_VALUE"""),395624)</f>
        <v>395624</v>
      </c>
      <c r="AM45" s="70" t="n">
        <f aca="false">IFERROR(__xludf.dummyfunction("""COMPUTED_VALUE"""),595432)</f>
        <v>595432</v>
      </c>
      <c r="AN45" s="70" t="n">
        <f aca="false">IFERROR(__xludf.dummyfunction("""COMPUTED_VALUE"""),440050)</f>
        <v>440050</v>
      </c>
      <c r="AO45" s="70" t="n">
        <f aca="false">IFERROR(__xludf.dummyfunction("""COMPUTED_VALUE"""),1)</f>
        <v>1</v>
      </c>
      <c r="AP45" s="70" t="n">
        <f aca="false">IFERROR(__xludf.dummyfunction("""COMPUTED_VALUE"""),0)</f>
        <v>0</v>
      </c>
      <c r="AQ45" s="70" t="n">
        <f aca="false">IFERROR(__xludf.dummyfunction("""COMPUTED_VALUE"""),2576)</f>
        <v>2576</v>
      </c>
      <c r="AR45" s="70" t="n">
        <f aca="false">IFERROR(__xludf.dummyfunction("""COMPUTED_VALUE"""),294640)</f>
        <v>294640</v>
      </c>
      <c r="AS45" s="70" t="n">
        <f aca="false">IFERROR(__xludf.dummyfunction("""COMPUTED_VALUE"""),3667)</f>
        <v>3667</v>
      </c>
      <c r="AT45" s="70" t="n">
        <f aca="false">IFERROR(__xludf.dummyfunction("""COMPUTED_VALUE"""),24412)</f>
        <v>24412</v>
      </c>
      <c r="AU45" s="70" t="n">
        <f aca="false">IFERROR(__xludf.dummyfunction("""COMPUTED_VALUE"""),217620)</f>
        <v>217620</v>
      </c>
      <c r="AV45" s="70" t="n">
        <f aca="false">IFERROR(__xludf.dummyfunction("""COMPUTED_VALUE"""),0)</f>
        <v>0</v>
      </c>
      <c r="AW45" s="70" t="n">
        <f aca="false">IFERROR(__xludf.dummyfunction("""COMPUTED_VALUE"""),2378)</f>
        <v>2378</v>
      </c>
      <c r="AX45" s="70" t="n">
        <f aca="false">IFERROR(__xludf.dummyfunction("""COMPUTED_VALUE"""),592059)</f>
        <v>592059</v>
      </c>
      <c r="AY45" s="70" t="n">
        <f aca="false">IFERROR(__xludf.dummyfunction("""COMPUTED_VALUE"""),1)</f>
        <v>1</v>
      </c>
      <c r="AZ45" s="70" t="n">
        <f aca="false">IFERROR(__xludf.dummyfunction("""COMPUTED_VALUE"""),1056468)</f>
        <v>1056468</v>
      </c>
      <c r="BA45" s="70" t="n">
        <f aca="false">IFERROR(__xludf.dummyfunction("""COMPUTED_VALUE"""),69276)</f>
        <v>69276</v>
      </c>
    </row>
    <row r="46" customFormat="false" ht="15.75" hidden="false" customHeight="false" outlineLevel="0" collapsed="false">
      <c r="A46" s="48"/>
      <c r="B46" s="59"/>
      <c r="C46" s="60"/>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row>
    <row r="47" customFormat="false" ht="15.75" hidden="false" customHeight="false" outlineLevel="0" collapsed="false">
      <c r="A47" s="74" t="s">
        <v>695</v>
      </c>
      <c r="B47" s="6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row>
    <row r="48" customFormat="false" ht="15.75" hidden="false" customHeight="false" outlineLevel="0" collapsed="false">
      <c r="A48" s="75" t="str">
        <f aca="false">IFERROR(__xludf.dummyfunction("TRANSPOSE(IMPORTRANGE(""https://docs.google.com/spreadsheets/d/1GKhz9pSyUWFf4Xrp7ACbjr4UA3dMq6VxKG1OCLWM9yA"", ""'Structures'!F4:AK56""))"),"year_built")</f>
        <v>year_built</v>
      </c>
      <c r="B48" s="56" t="n">
        <f aca="false">IFERROR(__xludf.dummyfunction("""COMPUTED_VALUE"""),5153889)</f>
        <v>5153889</v>
      </c>
      <c r="C48" s="76" t="n">
        <f aca="false">IFERROR(__xludf.dummyfunction("""COMPUTED_VALUE"""),114777)</f>
        <v>114777</v>
      </c>
      <c r="D48" s="77" t="n">
        <f aca="false">IFERROR(__xludf.dummyfunction("""COMPUTED_VALUE"""),8847)</f>
        <v>8847</v>
      </c>
      <c r="E48" s="77" t="n">
        <f aca="false">IFERROR(__xludf.dummyfunction("""COMPUTED_VALUE"""),112979)</f>
        <v>112979</v>
      </c>
      <c r="F48" s="77" t="n">
        <f aca="false">IFERROR(__xludf.dummyfunction("""COMPUTED_VALUE"""),12389)</f>
        <v>12389</v>
      </c>
      <c r="G48" s="77" t="n">
        <f aca="false">IFERROR(__xludf.dummyfunction("""COMPUTED_VALUE"""),492746)</f>
        <v>492746</v>
      </c>
      <c r="H48" s="77" t="n">
        <f aca="false">IFERROR(__xludf.dummyfunction("""COMPUTED_VALUE"""),112306)</f>
        <v>112306</v>
      </c>
      <c r="I48" s="77" t="n">
        <f aca="false">IFERROR(__xludf.dummyfunction("""COMPUTED_VALUE"""),55539)</f>
        <v>55539</v>
      </c>
      <c r="J48" s="77" t="n">
        <f aca="false">IFERROR(__xludf.dummyfunction("""COMPUTED_VALUE"""),2650)</f>
        <v>2650</v>
      </c>
      <c r="K48" s="77" t="n">
        <f aca="false">IFERROR(__xludf.dummyfunction("""COMPUTED_VALUE"""),12359)</f>
        <v>12359</v>
      </c>
      <c r="L48" s="77" t="n">
        <f aca="false">IFERROR(__xludf.dummyfunction("""COMPUTED_VALUE"""),363408)</f>
        <v>363408</v>
      </c>
      <c r="M48" s="77" t="n">
        <f aca="false">IFERROR(__xludf.dummyfunction("""COMPUTED_VALUE"""),138452)</f>
        <v>138452</v>
      </c>
      <c r="N48" s="77" t="n">
        <f aca="false">IFERROR(__xludf.dummyfunction("""COMPUTED_VALUE"""),15256)</f>
        <v>15256</v>
      </c>
      <c r="O48" s="77" t="n">
        <f aca="false">IFERROR(__xludf.dummyfunction("""COMPUTED_VALUE"""),23911)</f>
        <v>23911</v>
      </c>
      <c r="P48" s="77" t="n">
        <f aca="false">IFERROR(__xludf.dummyfunction("""COMPUTED_VALUE"""),135228)</f>
        <v>135228</v>
      </c>
      <c r="Q48" s="77" t="n">
        <f aca="false">IFERROR(__xludf.dummyfunction("""COMPUTED_VALUE"""),142418)</f>
        <v>142418</v>
      </c>
      <c r="R48" s="77" t="n">
        <f aca="false">IFERROR(__xludf.dummyfunction("""COMPUTED_VALUE"""),87333)</f>
        <v>87333</v>
      </c>
      <c r="S48" s="77" t="n">
        <f aca="false">IFERROR(__xludf.dummyfunction("""COMPUTED_VALUE"""),38806)</f>
        <v>38806</v>
      </c>
      <c r="T48" s="77" t="n">
        <f aca="false">IFERROR(__xludf.dummyfunction("""COMPUTED_VALUE"""),51751)</f>
        <v>51751</v>
      </c>
      <c r="U48" s="77" t="n">
        <f aca="false">IFERROR(__xludf.dummyfunction("""COMPUTED_VALUE"""),33182)</f>
        <v>33182</v>
      </c>
      <c r="V48" s="77" t="n">
        <f aca="false">IFERROR(__xludf.dummyfunction("""COMPUTED_VALUE"""),16583)</f>
        <v>16583</v>
      </c>
      <c r="W48" s="77" t="n">
        <f aca="false">IFERROR(__xludf.dummyfunction("""COMPUTED_VALUE"""),64978)</f>
        <v>64978</v>
      </c>
      <c r="X48" s="77" t="n">
        <f aca="false">IFERROR(__xludf.dummyfunction("""COMPUTED_VALUE"""),120880)</f>
        <v>120880</v>
      </c>
      <c r="Y48" s="77" t="n">
        <f aca="false">IFERROR(__xludf.dummyfunction("""COMPUTED_VALUE"""),85807)</f>
        <v>85807</v>
      </c>
      <c r="Z48" s="77" t="n">
        <f aca="false">IFERROR(__xludf.dummyfunction("""COMPUTED_VALUE"""),95189)</f>
        <v>95189</v>
      </c>
      <c r="AA48" s="77" t="n">
        <f aca="false">IFERROR(__xludf.dummyfunction("""COMPUTED_VALUE"""),53525)</f>
        <v>53525</v>
      </c>
      <c r="AB48" s="77" t="n">
        <f aca="false">IFERROR(__xludf.dummyfunction("""COMPUTED_VALUE"""),109369)</f>
        <v>109369</v>
      </c>
      <c r="AC48" s="77" t="n">
        <f aca="false">IFERROR(__xludf.dummyfunction("""COMPUTED_VALUE"""),29233)</f>
        <v>29233</v>
      </c>
      <c r="AD48" s="77" t="n">
        <f aca="false">IFERROR(__xludf.dummyfunction("""COMPUTED_VALUE"""),48055)</f>
        <v>48055</v>
      </c>
      <c r="AE48" s="77" t="n">
        <f aca="false">IFERROR(__xludf.dummyfunction("""COMPUTED_VALUE"""),34786)</f>
        <v>34786</v>
      </c>
      <c r="AF48" s="77" t="n">
        <f aca="false">IFERROR(__xludf.dummyfunction("""COMPUTED_VALUE"""),26697)</f>
        <v>26697</v>
      </c>
      <c r="AG48" s="77" t="n">
        <f aca="false">IFERROR(__xludf.dummyfunction("""COMPUTED_VALUE"""),114275)</f>
        <v>114275</v>
      </c>
      <c r="AH48" s="77" t="n">
        <f aca="false">IFERROR(__xludf.dummyfunction("""COMPUTED_VALUE"""),28750)</f>
        <v>28750</v>
      </c>
      <c r="AI48" s="77" t="n">
        <f aca="false">IFERROR(__xludf.dummyfunction("""COMPUTED_VALUE"""),240401)</f>
        <v>240401</v>
      </c>
      <c r="AJ48" s="77" t="n">
        <f aca="false">IFERROR(__xludf.dummyfunction("""COMPUTED_VALUE"""),208497)</f>
        <v>208497</v>
      </c>
      <c r="AK48" s="77" t="n">
        <f aca="false">IFERROR(__xludf.dummyfunction("""COMPUTED_VALUE"""),9521)</f>
        <v>9521</v>
      </c>
      <c r="AL48" s="77" t="n">
        <f aca="false">IFERROR(__xludf.dummyfunction("""COMPUTED_VALUE"""),250285)</f>
        <v>250285</v>
      </c>
      <c r="AM48" s="77" t="n">
        <f aca="false">IFERROR(__xludf.dummyfunction("""COMPUTED_VALUE"""),96636)</f>
        <v>96636</v>
      </c>
      <c r="AN48" s="77" t="n">
        <f aca="false">IFERROR(__xludf.dummyfunction("""COMPUTED_VALUE"""),76099)</f>
        <v>76099</v>
      </c>
      <c r="AO48" s="77" t="n">
        <f aca="false">IFERROR(__xludf.dummyfunction("""COMPUTED_VALUE"""),238208)</f>
        <v>238208</v>
      </c>
      <c r="AP48" s="77" t="n">
        <f aca="false">IFERROR(__xludf.dummyfunction("""COMPUTED_VALUE"""),22508)</f>
        <v>22508</v>
      </c>
      <c r="AQ48" s="77" t="n">
        <f aca="false">IFERROR(__xludf.dummyfunction("""COMPUTED_VALUE"""),85898)</f>
        <v>85898</v>
      </c>
      <c r="AR48" s="77" t="n">
        <f aca="false">IFERROR(__xludf.dummyfunction("""COMPUTED_VALUE"""),20699)</f>
        <v>20699</v>
      </c>
      <c r="AS48" s="77" t="n">
        <f aca="false">IFERROR(__xludf.dummyfunction("""COMPUTED_VALUE"""),153212)</f>
        <v>153212</v>
      </c>
      <c r="AT48" s="77" t="n">
        <f aca="false">IFERROR(__xludf.dummyfunction("""COMPUTED_VALUE"""),577257)</f>
        <v>577257</v>
      </c>
      <c r="AU48" s="77" t="n">
        <f aca="false">IFERROR(__xludf.dummyfunction("""COMPUTED_VALUE"""),34535)</f>
        <v>34535</v>
      </c>
      <c r="AV48" s="77" t="n">
        <f aca="false">IFERROR(__xludf.dummyfunction("""COMPUTED_VALUE"""),7991)</f>
        <v>7991</v>
      </c>
      <c r="AW48" s="77" t="n">
        <f aca="false">IFERROR(__xludf.dummyfunction("""COMPUTED_VALUE"""),138195)</f>
        <v>138195</v>
      </c>
      <c r="AX48" s="77" t="n">
        <f aca="false">IFERROR(__xludf.dummyfunction("""COMPUTED_VALUE"""),122186)</f>
        <v>122186</v>
      </c>
      <c r="AY48" s="77" t="n">
        <f aca="false">IFERROR(__xludf.dummyfunction("""COMPUTED_VALUE"""),37567)</f>
        <v>37567</v>
      </c>
      <c r="AZ48" s="77" t="n">
        <f aca="false">IFERROR(__xludf.dummyfunction("""COMPUTED_VALUE"""),33269)</f>
        <v>33269</v>
      </c>
      <c r="BA48" s="77" t="n">
        <f aca="false">IFERROR(__xludf.dummyfunction("""COMPUTED_VALUE"""),18461)</f>
        <v>18461</v>
      </c>
    </row>
    <row r="49" customFormat="false" ht="15.75" hidden="false" customHeight="false" outlineLevel="0" collapsed="false">
      <c r="A49" s="78" t="str">
        <f aca="false">IFERROR(__xludf.dummyfunction("""COMPUTED_VALUE"""),"effective_year_built")</f>
        <v>effective_year_built</v>
      </c>
      <c r="B49" s="72" t="n">
        <f aca="false">IFERROR(__xludf.dummyfunction("""COMPUTED_VALUE"""),2273893)</f>
        <v>2273893</v>
      </c>
      <c r="C49" s="73" t="n">
        <f aca="false">IFERROR(__xludf.dummyfunction("""COMPUTED_VALUE"""),77816)</f>
        <v>77816</v>
      </c>
      <c r="D49" s="70" t="n">
        <f aca="false">IFERROR(__xludf.dummyfunction("""COMPUTED_VALUE"""),3992)</f>
        <v>3992</v>
      </c>
      <c r="E49" s="70" t="n">
        <f aca="false">IFERROR(__xludf.dummyfunction("""COMPUTED_VALUE"""),77253)</f>
        <v>77253</v>
      </c>
      <c r="F49" s="70" t="n">
        <f aca="false">IFERROR(__xludf.dummyfunction("""COMPUTED_VALUE"""),2625)</f>
        <v>2625</v>
      </c>
      <c r="G49" s="70" t="n">
        <f aca="false">IFERROR(__xludf.dummyfunction("""COMPUTED_VALUE"""),385399)</f>
        <v>385399</v>
      </c>
      <c r="H49" s="70" t="n">
        <f aca="false">IFERROR(__xludf.dummyfunction("""COMPUTED_VALUE"""),80251)</f>
        <v>80251</v>
      </c>
      <c r="I49" s="70" t="n">
        <f aca="false">IFERROR(__xludf.dummyfunction("""COMPUTED_VALUE"""),6363)</f>
        <v>6363</v>
      </c>
      <c r="J49" s="70" t="n">
        <f aca="false">IFERROR(__xludf.dummyfunction("""COMPUTED_VALUE"""),9)</f>
        <v>9</v>
      </c>
      <c r="K49" s="70" t="n">
        <f aca="false">IFERROR(__xludf.dummyfunction("""COMPUTED_VALUE"""),3938)</f>
        <v>3938</v>
      </c>
      <c r="L49" s="70" t="n">
        <f aca="false">IFERROR(__xludf.dummyfunction("""COMPUTED_VALUE"""),328374)</f>
        <v>328374</v>
      </c>
      <c r="M49" s="70" t="n">
        <f aca="false">IFERROR(__xludf.dummyfunction("""COMPUTED_VALUE"""),62614)</f>
        <v>62614</v>
      </c>
      <c r="N49" s="70" t="n">
        <f aca="false">IFERROR(__xludf.dummyfunction("""COMPUTED_VALUE"""),4370)</f>
        <v>4370</v>
      </c>
      <c r="O49" s="70" t="n">
        <f aca="false">IFERROR(__xludf.dummyfunction("""COMPUTED_VALUE"""),12699)</f>
        <v>12699</v>
      </c>
      <c r="P49" s="70" t="n">
        <f aca="false">IFERROR(__xludf.dummyfunction("""COMPUTED_VALUE"""),8935)</f>
        <v>8935</v>
      </c>
      <c r="Q49" s="70" t="n">
        <f aca="false">IFERROR(__xludf.dummyfunction("""COMPUTED_VALUE"""),137186)</f>
        <v>137186</v>
      </c>
      <c r="R49" s="70" t="n">
        <f aca="false">IFERROR(__xludf.dummyfunction("""COMPUTED_VALUE"""),39698)</f>
        <v>39698</v>
      </c>
      <c r="S49" s="70" t="n">
        <f aca="false">IFERROR(__xludf.dummyfunction("""COMPUTED_VALUE"""),700)</f>
        <v>700</v>
      </c>
      <c r="T49" s="70" t="n">
        <f aca="false">IFERROR(__xludf.dummyfunction("""COMPUTED_VALUE"""),2251)</f>
        <v>2251</v>
      </c>
      <c r="U49" s="70" t="n">
        <f aca="false">IFERROR(__xludf.dummyfunction("""COMPUTED_VALUE"""),622)</f>
        <v>622</v>
      </c>
      <c r="V49" s="70" t="n">
        <f aca="false">IFERROR(__xludf.dummyfunction("""COMPUTED_VALUE"""),1874)</f>
        <v>1874</v>
      </c>
      <c r="W49" s="70" t="n">
        <f aca="false">IFERROR(__xludf.dummyfunction("""COMPUTED_VALUE"""),0)</f>
        <v>0</v>
      </c>
      <c r="X49" s="70" t="n">
        <f aca="false">IFERROR(__xludf.dummyfunction("""COMPUTED_VALUE"""),25906)</f>
        <v>25906</v>
      </c>
      <c r="Y49" s="70" t="n">
        <f aca="false">IFERROR(__xludf.dummyfunction("""COMPUTED_VALUE"""),447)</f>
        <v>447</v>
      </c>
      <c r="Z49" s="70" t="n">
        <f aca="false">IFERROR(__xludf.dummyfunction("""COMPUTED_VALUE"""),48566)</f>
        <v>48566</v>
      </c>
      <c r="AA49" s="70" t="n">
        <f aca="false">IFERROR(__xludf.dummyfunction("""COMPUTED_VALUE"""),18921)</f>
        <v>18921</v>
      </c>
      <c r="AB49" s="70" t="n">
        <f aca="false">IFERROR(__xludf.dummyfunction("""COMPUTED_VALUE"""),15010)</f>
        <v>15010</v>
      </c>
      <c r="AC49" s="70" t="n">
        <f aca="false">IFERROR(__xludf.dummyfunction("""COMPUTED_VALUE"""),17623)</f>
        <v>17623</v>
      </c>
      <c r="AD49" s="70" t="n">
        <f aca="false">IFERROR(__xludf.dummyfunction("""COMPUTED_VALUE"""),4545)</f>
        <v>4545</v>
      </c>
      <c r="AE49" s="70" t="n">
        <f aca="false">IFERROR(__xludf.dummyfunction("""COMPUTED_VALUE"""),9415)</f>
        <v>9415</v>
      </c>
      <c r="AF49" s="70" t="n">
        <f aca="false">IFERROR(__xludf.dummyfunction("""COMPUTED_VALUE"""),2987)</f>
        <v>2987</v>
      </c>
      <c r="AG49" s="70" t="n">
        <f aca="false">IFERROR(__xludf.dummyfunction("""COMPUTED_VALUE"""),0)</f>
        <v>0</v>
      </c>
      <c r="AH49" s="70" t="n">
        <f aca="false">IFERROR(__xludf.dummyfunction("""COMPUTED_VALUE"""),375)</f>
        <v>375</v>
      </c>
      <c r="AI49" s="70" t="n">
        <f aca="false">IFERROR(__xludf.dummyfunction("""COMPUTED_VALUE"""),65473)</f>
        <v>65473</v>
      </c>
      <c r="AJ49" s="70" t="n">
        <f aca="false">IFERROR(__xludf.dummyfunction("""COMPUTED_VALUE"""),124678)</f>
        <v>124678</v>
      </c>
      <c r="AK49" s="70" t="n">
        <f aca="false">IFERROR(__xludf.dummyfunction("""COMPUTED_VALUE"""),340)</f>
        <v>340</v>
      </c>
      <c r="AL49" s="70" t="n">
        <f aca="false">IFERROR(__xludf.dummyfunction("""COMPUTED_VALUE"""),108291)</f>
        <v>108291</v>
      </c>
      <c r="AM49" s="70" t="n">
        <f aca="false">IFERROR(__xludf.dummyfunction("""COMPUTED_VALUE"""),32369)</f>
        <v>32369</v>
      </c>
      <c r="AN49" s="70" t="n">
        <f aca="false">IFERROR(__xludf.dummyfunction("""COMPUTED_VALUE"""),22670)</f>
        <v>22670</v>
      </c>
      <c r="AO49" s="70" t="n">
        <f aca="false">IFERROR(__xludf.dummyfunction("""COMPUTED_VALUE"""),28935)</f>
        <v>28935</v>
      </c>
      <c r="AP49" s="70" t="n">
        <f aca="false">IFERROR(__xludf.dummyfunction("""COMPUTED_VALUE"""),1349)</f>
        <v>1349</v>
      </c>
      <c r="AQ49" s="70" t="n">
        <f aca="false">IFERROR(__xludf.dummyfunction("""COMPUTED_VALUE"""),50775)</f>
        <v>50775</v>
      </c>
      <c r="AR49" s="70" t="n">
        <f aca="false">IFERROR(__xludf.dummyfunction("""COMPUTED_VALUE"""),2699)</f>
        <v>2699</v>
      </c>
      <c r="AS49" s="70" t="n">
        <f aca="false">IFERROR(__xludf.dummyfunction("""COMPUTED_VALUE"""),139582)</f>
        <v>139582</v>
      </c>
      <c r="AT49" s="70" t="n">
        <f aca="false">IFERROR(__xludf.dummyfunction("""COMPUTED_VALUE"""),193412)</f>
        <v>193412</v>
      </c>
      <c r="AU49" s="70" t="n">
        <f aca="false">IFERROR(__xludf.dummyfunction("""COMPUTED_VALUE"""),9879)</f>
        <v>9879</v>
      </c>
      <c r="AV49" s="70" t="n">
        <f aca="false">IFERROR(__xludf.dummyfunction("""COMPUTED_VALUE"""),340)</f>
        <v>340</v>
      </c>
      <c r="AW49" s="70" t="n">
        <f aca="false">IFERROR(__xludf.dummyfunction("""COMPUTED_VALUE"""),30492)</f>
        <v>30492</v>
      </c>
      <c r="AX49" s="70" t="n">
        <f aca="false">IFERROR(__xludf.dummyfunction("""COMPUTED_VALUE"""),76792)</f>
        <v>76792</v>
      </c>
      <c r="AY49" s="70" t="n">
        <f aca="false">IFERROR(__xludf.dummyfunction("""COMPUTED_VALUE"""),162)</f>
        <v>162</v>
      </c>
      <c r="AZ49" s="70" t="n">
        <f aca="false">IFERROR(__xludf.dummyfunction("""COMPUTED_VALUE"""),3685)</f>
        <v>3685</v>
      </c>
      <c r="BA49" s="70" t="n">
        <f aca="false">IFERROR(__xludf.dummyfunction("""COMPUTED_VALUE"""),1206)</f>
        <v>1206</v>
      </c>
    </row>
    <row r="50" customFormat="false" ht="15.75" hidden="false" customHeight="false" outlineLevel="0" collapsed="false">
      <c r="A50" s="78" t="str">
        <f aca="false">IFERROR(__xludf.dummyfunction("""COMPUTED_VALUE"""),"stories")</f>
        <v>stories</v>
      </c>
      <c r="B50" s="72" t="n">
        <f aca="false">IFERROR(__xludf.dummyfunction("""COMPUTED_VALUE"""),3806847)</f>
        <v>3806847</v>
      </c>
      <c r="C50" s="73" t="n">
        <f aca="false">IFERROR(__xludf.dummyfunction("""COMPUTED_VALUE"""),112181)</f>
        <v>112181</v>
      </c>
      <c r="D50" s="70" t="n">
        <f aca="false">IFERROR(__xludf.dummyfunction("""COMPUTED_VALUE"""),3678)</f>
        <v>3678</v>
      </c>
      <c r="E50" s="70" t="n">
        <f aca="false">IFERROR(__xludf.dummyfunction("""COMPUTED_VALUE"""),110829)</f>
        <v>110829</v>
      </c>
      <c r="F50" s="70" t="n">
        <f aca="false">IFERROR(__xludf.dummyfunction("""COMPUTED_VALUE"""),32942)</f>
        <v>32942</v>
      </c>
      <c r="G50" s="70" t="n">
        <f aca="false">IFERROR(__xludf.dummyfunction("""COMPUTED_VALUE"""),302793)</f>
        <v>302793</v>
      </c>
      <c r="H50" s="70" t="n">
        <f aca="false">IFERROR(__xludf.dummyfunction("""COMPUTED_VALUE"""),87086)</f>
        <v>87086</v>
      </c>
      <c r="I50" s="70" t="n">
        <f aca="false">IFERROR(__xludf.dummyfunction("""COMPUTED_VALUE"""),52989)</f>
        <v>52989</v>
      </c>
      <c r="J50" s="70" t="n">
        <f aca="false">IFERROR(__xludf.dummyfunction("""COMPUTED_VALUE"""),309)</f>
        <v>309</v>
      </c>
      <c r="K50" s="70" t="n">
        <f aca="false">IFERROR(__xludf.dummyfunction("""COMPUTED_VALUE"""),11902)</f>
        <v>11902</v>
      </c>
      <c r="L50" s="70" t="n">
        <f aca="false">IFERROR(__xludf.dummyfunction("""COMPUTED_VALUE"""),288921)</f>
        <v>288921</v>
      </c>
      <c r="M50" s="70" t="n">
        <f aca="false">IFERROR(__xludf.dummyfunction("""COMPUTED_VALUE"""),100875)</f>
        <v>100875</v>
      </c>
      <c r="N50" s="70" t="n">
        <f aca="false">IFERROR(__xludf.dummyfunction("""COMPUTED_VALUE"""),1675)</f>
        <v>1675</v>
      </c>
      <c r="O50" s="70" t="n">
        <f aca="false">IFERROR(__xludf.dummyfunction("""COMPUTED_VALUE"""),18255)</f>
        <v>18255</v>
      </c>
      <c r="P50" s="70" t="n">
        <f aca="false">IFERROR(__xludf.dummyfunction("""COMPUTED_VALUE"""),105324)</f>
        <v>105324</v>
      </c>
      <c r="Q50" s="70" t="n">
        <f aca="false">IFERROR(__xludf.dummyfunction("""COMPUTED_VALUE"""),135883)</f>
        <v>135883</v>
      </c>
      <c r="R50" s="70" t="n">
        <f aca="false">IFERROR(__xludf.dummyfunction("""COMPUTED_VALUE"""),72941)</f>
        <v>72941</v>
      </c>
      <c r="S50" s="70" t="n">
        <f aca="false">IFERROR(__xludf.dummyfunction("""COMPUTED_VALUE"""),13325)</f>
        <v>13325</v>
      </c>
      <c r="T50" s="70" t="n">
        <f aca="false">IFERROR(__xludf.dummyfunction("""COMPUTED_VALUE"""),59165)</f>
        <v>59165</v>
      </c>
      <c r="U50" s="70" t="n">
        <f aca="false">IFERROR(__xludf.dummyfunction("""COMPUTED_VALUE"""),8648)</f>
        <v>8648</v>
      </c>
      <c r="V50" s="70" t="n">
        <f aca="false">IFERROR(__xludf.dummyfunction("""COMPUTED_VALUE"""),12964)</f>
        <v>12964</v>
      </c>
      <c r="W50" s="70" t="n">
        <f aca="false">IFERROR(__xludf.dummyfunction("""COMPUTED_VALUE"""),44376)</f>
        <v>44376</v>
      </c>
      <c r="X50" s="70" t="n">
        <f aca="false">IFERROR(__xludf.dummyfunction("""COMPUTED_VALUE"""),116986)</f>
        <v>116986</v>
      </c>
      <c r="Y50" s="70" t="n">
        <f aca="false">IFERROR(__xludf.dummyfunction("""COMPUTED_VALUE"""),67867)</f>
        <v>67867</v>
      </c>
      <c r="Z50" s="70" t="n">
        <f aca="false">IFERROR(__xludf.dummyfunction("""COMPUTED_VALUE"""),31137)</f>
        <v>31137</v>
      </c>
      <c r="AA50" s="70" t="n">
        <f aca="false">IFERROR(__xludf.dummyfunction("""COMPUTED_VALUE"""),10253)</f>
        <v>10253</v>
      </c>
      <c r="AB50" s="70" t="n">
        <f aca="false">IFERROR(__xludf.dummyfunction("""COMPUTED_VALUE"""),38063)</f>
        <v>38063</v>
      </c>
      <c r="AC50" s="70" t="n">
        <f aca="false">IFERROR(__xludf.dummyfunction("""COMPUTED_VALUE"""),15253)</f>
        <v>15253</v>
      </c>
      <c r="AD50" s="70" t="n">
        <f aca="false">IFERROR(__xludf.dummyfunction("""COMPUTED_VALUE"""),40774)</f>
        <v>40774</v>
      </c>
      <c r="AE50" s="70" t="n">
        <f aca="false">IFERROR(__xludf.dummyfunction("""COMPUTED_VALUE"""),30443)</f>
        <v>30443</v>
      </c>
      <c r="AF50" s="70" t="n">
        <f aca="false">IFERROR(__xludf.dummyfunction("""COMPUTED_VALUE"""),23792)</f>
        <v>23792</v>
      </c>
      <c r="AG50" s="70" t="n">
        <f aca="false">IFERROR(__xludf.dummyfunction("""COMPUTED_VALUE"""),122452)</f>
        <v>122452</v>
      </c>
      <c r="AH50" s="70" t="n">
        <f aca="false">IFERROR(__xludf.dummyfunction("""COMPUTED_VALUE"""),5581)</f>
        <v>5581</v>
      </c>
      <c r="AI50" s="70" t="n">
        <f aca="false">IFERROR(__xludf.dummyfunction("""COMPUTED_VALUE"""),216935)</f>
        <v>216935</v>
      </c>
      <c r="AJ50" s="70" t="n">
        <f aca="false">IFERROR(__xludf.dummyfunction("""COMPUTED_VALUE"""),182317)</f>
        <v>182317</v>
      </c>
      <c r="AK50" s="70" t="n">
        <f aca="false">IFERROR(__xludf.dummyfunction("""COMPUTED_VALUE"""),1756)</f>
        <v>1756</v>
      </c>
      <c r="AL50" s="70" t="n">
        <f aca="false">IFERROR(__xludf.dummyfunction("""COMPUTED_VALUE"""),175999)</f>
        <v>175999</v>
      </c>
      <c r="AM50" s="70" t="n">
        <f aca="false">IFERROR(__xludf.dummyfunction("""COMPUTED_VALUE"""),99518)</f>
        <v>99518</v>
      </c>
      <c r="AN50" s="70" t="n">
        <f aca="false">IFERROR(__xludf.dummyfunction("""COMPUTED_VALUE"""),38581)</f>
        <v>38581</v>
      </c>
      <c r="AO50" s="70" t="n">
        <f aca="false">IFERROR(__xludf.dummyfunction("""COMPUTED_VALUE"""),160602)</f>
        <v>160602</v>
      </c>
      <c r="AP50" s="70" t="n">
        <f aca="false">IFERROR(__xludf.dummyfunction("""COMPUTED_VALUE"""),21744)</f>
        <v>21744</v>
      </c>
      <c r="AQ50" s="70" t="n">
        <f aca="false">IFERROR(__xludf.dummyfunction("""COMPUTED_VALUE"""),50376)</f>
        <v>50376</v>
      </c>
      <c r="AR50" s="70" t="n">
        <f aca="false">IFERROR(__xludf.dummyfunction("""COMPUTED_VALUE"""),7459)</f>
        <v>7459</v>
      </c>
      <c r="AS50" s="70" t="n">
        <f aca="false">IFERROR(__xludf.dummyfunction("""COMPUTED_VALUE"""),90772)</f>
        <v>90772</v>
      </c>
      <c r="AT50" s="70" t="n">
        <f aca="false">IFERROR(__xludf.dummyfunction("""COMPUTED_VALUE"""),343936)</f>
        <v>343936</v>
      </c>
      <c r="AU50" s="70" t="n">
        <f aca="false">IFERROR(__xludf.dummyfunction("""COMPUTED_VALUE"""),24180)</f>
        <v>24180</v>
      </c>
      <c r="AV50" s="70" t="n">
        <f aca="false">IFERROR(__xludf.dummyfunction("""COMPUTED_VALUE"""),6397)</f>
        <v>6397</v>
      </c>
      <c r="AW50" s="70" t="n">
        <f aca="false">IFERROR(__xludf.dummyfunction("""COMPUTED_VALUE"""),126027)</f>
        <v>126027</v>
      </c>
      <c r="AX50" s="70" t="n">
        <f aca="false">IFERROR(__xludf.dummyfunction("""COMPUTED_VALUE"""),101006)</f>
        <v>101006</v>
      </c>
      <c r="AY50" s="70" t="n">
        <f aca="false">IFERROR(__xludf.dummyfunction("""COMPUTED_VALUE"""),32933)</f>
        <v>32933</v>
      </c>
      <c r="AZ50" s="70" t="n">
        <f aca="false">IFERROR(__xludf.dummyfunction("""COMPUTED_VALUE"""),29769)</f>
        <v>29769</v>
      </c>
      <c r="BA50" s="70" t="n">
        <f aca="false">IFERROR(__xludf.dummyfunction("""COMPUTED_VALUE"""),16878)</f>
        <v>16878</v>
      </c>
    </row>
    <row r="51" customFormat="false" ht="15.75" hidden="false" customHeight="false" outlineLevel="0" collapsed="false">
      <c r="A51" s="78" t="str">
        <f aca="false">IFERROR(__xludf.dummyfunction("""COMPUTED_VALUE"""),"rooms_count")</f>
        <v>rooms_count</v>
      </c>
      <c r="B51" s="72" t="n">
        <f aca="false">IFERROR(__xludf.dummyfunction("""COMPUTED_VALUE"""),710679)</f>
        <v>710679</v>
      </c>
      <c r="C51" s="73" t="n">
        <f aca="false">IFERROR(__xludf.dummyfunction("""COMPUTED_VALUE"""),44657)</f>
        <v>44657</v>
      </c>
      <c r="D51" s="70" t="n">
        <f aca="false">IFERROR(__xludf.dummyfunction("""COMPUTED_VALUE"""),324)</f>
        <v>324</v>
      </c>
      <c r="E51" s="70" t="n">
        <f aca="false">IFERROR(__xludf.dummyfunction("""COMPUTED_VALUE"""),3211)</f>
        <v>3211</v>
      </c>
      <c r="F51" s="70" t="n">
        <f aca="false">IFERROR(__xludf.dummyfunction("""COMPUTED_VALUE"""),130)</f>
        <v>130</v>
      </c>
      <c r="G51" s="70" t="n">
        <f aca="false">IFERROR(__xludf.dummyfunction("""COMPUTED_VALUE"""),69595)</f>
        <v>69595</v>
      </c>
      <c r="H51" s="70" t="n">
        <f aca="false">IFERROR(__xludf.dummyfunction("""COMPUTED_VALUE"""),24583)</f>
        <v>24583</v>
      </c>
      <c r="I51" s="70" t="n">
        <f aca="false">IFERROR(__xludf.dummyfunction("""COMPUTED_VALUE"""),9774)</f>
        <v>9774</v>
      </c>
      <c r="J51" s="70" t="n">
        <f aca="false">IFERROR(__xludf.dummyfunction("""COMPUTED_VALUE"""),260)</f>
        <v>260</v>
      </c>
      <c r="K51" s="70" t="n">
        <f aca="false">IFERROR(__xludf.dummyfunction("""COMPUTED_VALUE"""),3052)</f>
        <v>3052</v>
      </c>
      <c r="L51" s="70" t="n">
        <f aca="false">IFERROR(__xludf.dummyfunction("""COMPUTED_VALUE"""),93563)</f>
        <v>93563</v>
      </c>
      <c r="M51" s="70" t="n">
        <f aca="false">IFERROR(__xludf.dummyfunction("""COMPUTED_VALUE"""),7574)</f>
        <v>7574</v>
      </c>
      <c r="N51" s="70" t="n">
        <f aca="false">IFERROR(__xludf.dummyfunction("""COMPUTED_VALUE"""),1853)</f>
        <v>1853</v>
      </c>
      <c r="O51" s="70" t="n">
        <f aca="false">IFERROR(__xludf.dummyfunction("""COMPUTED_VALUE"""),273)</f>
        <v>273</v>
      </c>
      <c r="P51" s="70" t="n">
        <f aca="false">IFERROR(__xludf.dummyfunction("""COMPUTED_VALUE"""),9368)</f>
        <v>9368</v>
      </c>
      <c r="Q51" s="70" t="n">
        <f aca="false">IFERROR(__xludf.dummyfunction("""COMPUTED_VALUE"""),2234)</f>
        <v>2234</v>
      </c>
      <c r="R51" s="70" t="n">
        <f aca="false">IFERROR(__xludf.dummyfunction("""COMPUTED_VALUE"""),2150)</f>
        <v>2150</v>
      </c>
      <c r="S51" s="70" t="n">
        <f aca="false">IFERROR(__xludf.dummyfunction("""COMPUTED_VALUE"""),6752)</f>
        <v>6752</v>
      </c>
      <c r="T51" s="70" t="n">
        <f aca="false">IFERROR(__xludf.dummyfunction("""COMPUTED_VALUE"""),6921)</f>
        <v>6921</v>
      </c>
      <c r="U51" s="70" t="n">
        <f aca="false">IFERROR(__xludf.dummyfunction("""COMPUTED_VALUE"""),1302)</f>
        <v>1302</v>
      </c>
      <c r="V51" s="70" t="n">
        <f aca="false">IFERROR(__xludf.dummyfunction("""COMPUTED_VALUE"""),2947)</f>
        <v>2947</v>
      </c>
      <c r="W51" s="70" t="n">
        <f aca="false">IFERROR(__xludf.dummyfunction("""COMPUTED_VALUE"""),0)</f>
        <v>0</v>
      </c>
      <c r="X51" s="70" t="n">
        <f aca="false">IFERROR(__xludf.dummyfunction("""COMPUTED_VALUE"""),34455)</f>
        <v>34455</v>
      </c>
      <c r="Y51" s="70" t="n">
        <f aca="false">IFERROR(__xludf.dummyfunction("""COMPUTED_VALUE"""),4050)</f>
        <v>4050</v>
      </c>
      <c r="Z51" s="70" t="n">
        <f aca="false">IFERROR(__xludf.dummyfunction("""COMPUTED_VALUE"""),6621)</f>
        <v>6621</v>
      </c>
      <c r="AA51" s="70" t="n">
        <f aca="false">IFERROR(__xludf.dummyfunction("""COMPUTED_VALUE"""),7931)</f>
        <v>7931</v>
      </c>
      <c r="AB51" s="70" t="n">
        <f aca="false">IFERROR(__xludf.dummyfunction("""COMPUTED_VALUE"""),13127)</f>
        <v>13127</v>
      </c>
      <c r="AC51" s="70" t="n">
        <f aca="false">IFERROR(__xludf.dummyfunction("""COMPUTED_VALUE"""),1489)</f>
        <v>1489</v>
      </c>
      <c r="AD51" s="70" t="n">
        <f aca="false">IFERROR(__xludf.dummyfunction("""COMPUTED_VALUE"""),2283)</f>
        <v>2283</v>
      </c>
      <c r="AE51" s="70" t="n">
        <f aca="false">IFERROR(__xludf.dummyfunction("""COMPUTED_VALUE"""),362)</f>
        <v>362</v>
      </c>
      <c r="AF51" s="70" t="n">
        <f aca="false">IFERROR(__xludf.dummyfunction("""COMPUTED_VALUE"""),5117)</f>
        <v>5117</v>
      </c>
      <c r="AG51" s="70" t="n">
        <f aca="false">IFERROR(__xludf.dummyfunction("""COMPUTED_VALUE"""),695)</f>
        <v>695</v>
      </c>
      <c r="AH51" s="70" t="n">
        <f aca="false">IFERROR(__xludf.dummyfunction("""COMPUTED_VALUE"""),51)</f>
        <v>51</v>
      </c>
      <c r="AI51" s="70" t="n">
        <f aca="false">IFERROR(__xludf.dummyfunction("""COMPUTED_VALUE"""),10894)</f>
        <v>10894</v>
      </c>
      <c r="AJ51" s="70" t="n">
        <f aca="false">IFERROR(__xludf.dummyfunction("""COMPUTED_VALUE"""),35618)</f>
        <v>35618</v>
      </c>
      <c r="AK51" s="70" t="n">
        <f aca="false">IFERROR(__xludf.dummyfunction("""COMPUTED_VALUE"""),70)</f>
        <v>70</v>
      </c>
      <c r="AL51" s="70" t="n">
        <f aca="false">IFERROR(__xludf.dummyfunction("""COMPUTED_VALUE"""),79005)</f>
        <v>79005</v>
      </c>
      <c r="AM51" s="70" t="n">
        <f aca="false">IFERROR(__xludf.dummyfunction("""COMPUTED_VALUE"""),8050)</f>
        <v>8050</v>
      </c>
      <c r="AN51" s="70" t="n">
        <f aca="false">IFERROR(__xludf.dummyfunction("""COMPUTED_VALUE"""),1817)</f>
        <v>1817</v>
      </c>
      <c r="AO51" s="70" t="n">
        <f aca="false">IFERROR(__xludf.dummyfunction("""COMPUTED_VALUE"""),60883)</f>
        <v>60883</v>
      </c>
      <c r="AP51" s="70" t="n">
        <f aca="false">IFERROR(__xludf.dummyfunction("""COMPUTED_VALUE"""),4972)</f>
        <v>4972</v>
      </c>
      <c r="AQ51" s="70" t="n">
        <f aca="false">IFERROR(__xludf.dummyfunction("""COMPUTED_VALUE"""),6644)</f>
        <v>6644</v>
      </c>
      <c r="AR51" s="70" t="n">
        <f aca="false">IFERROR(__xludf.dummyfunction("""COMPUTED_VALUE"""),1405)</f>
        <v>1405</v>
      </c>
      <c r="AS51" s="70" t="n">
        <f aca="false">IFERROR(__xludf.dummyfunction("""COMPUTED_VALUE"""),14561)</f>
        <v>14561</v>
      </c>
      <c r="AT51" s="70" t="n">
        <f aca="false">IFERROR(__xludf.dummyfunction("""COMPUTED_VALUE"""),19693)</f>
        <v>19693</v>
      </c>
      <c r="AU51" s="70" t="n">
        <f aca="false">IFERROR(__xludf.dummyfunction("""COMPUTED_VALUE"""),3967)</f>
        <v>3967</v>
      </c>
      <c r="AV51" s="70" t="n">
        <f aca="false">IFERROR(__xludf.dummyfunction("""COMPUTED_VALUE"""),2955)</f>
        <v>2955</v>
      </c>
      <c r="AW51" s="70" t="n">
        <f aca="false">IFERROR(__xludf.dummyfunction("""COMPUTED_VALUE"""),48496)</f>
        <v>48496</v>
      </c>
      <c r="AX51" s="70" t="n">
        <f aca="false">IFERROR(__xludf.dummyfunction("""COMPUTED_VALUE"""),962)</f>
        <v>962</v>
      </c>
      <c r="AY51" s="70" t="n">
        <f aca="false">IFERROR(__xludf.dummyfunction("""COMPUTED_VALUE"""),32837)</f>
        <v>32837</v>
      </c>
      <c r="AZ51" s="70" t="n">
        <f aca="false">IFERROR(__xludf.dummyfunction("""COMPUTED_VALUE"""),9783)</f>
        <v>9783</v>
      </c>
      <c r="BA51" s="70" t="n">
        <f aca="false">IFERROR(__xludf.dummyfunction("""COMPUTED_VALUE"""),1363)</f>
        <v>1363</v>
      </c>
    </row>
    <row r="52" customFormat="false" ht="15.75" hidden="false" customHeight="false" outlineLevel="0" collapsed="false">
      <c r="A52" s="78" t="str">
        <f aca="false">IFERROR(__xludf.dummyfunction("""COMPUTED_VALUE"""),"beds_count")</f>
        <v>beds_count</v>
      </c>
      <c r="B52" s="72" t="n">
        <f aca="false">IFERROR(__xludf.dummyfunction("""COMPUTED_VALUE"""),714156)</f>
        <v>714156</v>
      </c>
      <c r="C52" s="73" t="n">
        <f aca="false">IFERROR(__xludf.dummyfunction("""COMPUTED_VALUE"""),1573)</f>
        <v>1573</v>
      </c>
      <c r="D52" s="70" t="n">
        <f aca="false">IFERROR(__xludf.dummyfunction("""COMPUTED_VALUE"""),985)</f>
        <v>985</v>
      </c>
      <c r="E52" s="70" t="n">
        <f aca="false">IFERROR(__xludf.dummyfunction("""COMPUTED_VALUE"""),0)</f>
        <v>0</v>
      </c>
      <c r="F52" s="70" t="n">
        <f aca="false">IFERROR(__xludf.dummyfunction("""COMPUTED_VALUE"""),115)</f>
        <v>115</v>
      </c>
      <c r="G52" s="70" t="n">
        <f aca="false">IFERROR(__xludf.dummyfunction("""COMPUTED_VALUE"""),148241)</f>
        <v>148241</v>
      </c>
      <c r="H52" s="70" t="n">
        <f aca="false">IFERROR(__xludf.dummyfunction("""COMPUTED_VALUE"""),20107)</f>
        <v>20107</v>
      </c>
      <c r="I52" s="70" t="n">
        <f aca="false">IFERROR(__xludf.dummyfunction("""COMPUTED_VALUE"""),9250)</f>
        <v>9250</v>
      </c>
      <c r="J52" s="70" t="n">
        <f aca="false">IFERROR(__xludf.dummyfunction("""COMPUTED_VALUE"""),242)</f>
        <v>242</v>
      </c>
      <c r="K52" s="70" t="n">
        <f aca="false">IFERROR(__xludf.dummyfunction("""COMPUTED_VALUE"""),1009)</f>
        <v>1009</v>
      </c>
      <c r="L52" s="70" t="n">
        <f aca="false">IFERROR(__xludf.dummyfunction("""COMPUTED_VALUE"""),31637)</f>
        <v>31637</v>
      </c>
      <c r="M52" s="70" t="n">
        <f aca="false">IFERROR(__xludf.dummyfunction("""COMPUTED_VALUE"""),10929)</f>
        <v>10929</v>
      </c>
      <c r="N52" s="70" t="n">
        <f aca="false">IFERROR(__xludf.dummyfunction("""COMPUTED_VALUE"""),1483)</f>
        <v>1483</v>
      </c>
      <c r="O52" s="70" t="n">
        <f aca="false">IFERROR(__xludf.dummyfunction("""COMPUTED_VALUE"""),8144)</f>
        <v>8144</v>
      </c>
      <c r="P52" s="70" t="n">
        <f aca="false">IFERROR(__xludf.dummyfunction("""COMPUTED_VALUE"""),11470)</f>
        <v>11470</v>
      </c>
      <c r="Q52" s="70" t="n">
        <f aca="false">IFERROR(__xludf.dummyfunction("""COMPUTED_VALUE"""),1733)</f>
        <v>1733</v>
      </c>
      <c r="R52" s="70" t="n">
        <f aca="false">IFERROR(__xludf.dummyfunction("""COMPUTED_VALUE"""),2359)</f>
        <v>2359</v>
      </c>
      <c r="S52" s="70" t="n">
        <f aca="false">IFERROR(__xludf.dummyfunction("""COMPUTED_VALUE"""),6866)</f>
        <v>6866</v>
      </c>
      <c r="T52" s="70" t="n">
        <f aca="false">IFERROR(__xludf.dummyfunction("""COMPUTED_VALUE"""),18070)</f>
        <v>18070</v>
      </c>
      <c r="U52" s="70" t="n">
        <f aca="false">IFERROR(__xludf.dummyfunction("""COMPUTED_VALUE"""),2036)</f>
        <v>2036</v>
      </c>
      <c r="V52" s="70" t="n">
        <f aca="false">IFERROR(__xludf.dummyfunction("""COMPUTED_VALUE"""),3287)</f>
        <v>3287</v>
      </c>
      <c r="W52" s="70" t="n">
        <f aca="false">IFERROR(__xludf.dummyfunction("""COMPUTED_VALUE"""),0)</f>
        <v>0</v>
      </c>
      <c r="X52" s="70" t="n">
        <f aca="false">IFERROR(__xludf.dummyfunction("""COMPUTED_VALUE"""),30897)</f>
        <v>30897</v>
      </c>
      <c r="Y52" s="70" t="n">
        <f aca="false">IFERROR(__xludf.dummyfunction("""COMPUTED_VALUE"""),2737)</f>
        <v>2737</v>
      </c>
      <c r="Z52" s="70" t="n">
        <f aca="false">IFERROR(__xludf.dummyfunction("""COMPUTED_VALUE"""),12567)</f>
        <v>12567</v>
      </c>
      <c r="AA52" s="70" t="n">
        <f aca="false">IFERROR(__xludf.dummyfunction("""COMPUTED_VALUE"""),1438)</f>
        <v>1438</v>
      </c>
      <c r="AB52" s="70" t="n">
        <f aca="false">IFERROR(__xludf.dummyfunction("""COMPUTED_VALUE"""),9060)</f>
        <v>9060</v>
      </c>
      <c r="AC52" s="70" t="n">
        <f aca="false">IFERROR(__xludf.dummyfunction("""COMPUTED_VALUE"""),2574)</f>
        <v>2574</v>
      </c>
      <c r="AD52" s="70" t="n">
        <f aca="false">IFERROR(__xludf.dummyfunction("""COMPUTED_VALUE"""),4793)</f>
        <v>4793</v>
      </c>
      <c r="AE52" s="70" t="n">
        <f aca="false">IFERROR(__xludf.dummyfunction("""COMPUTED_VALUE"""),1068)</f>
        <v>1068</v>
      </c>
      <c r="AF52" s="70" t="n">
        <f aca="false">IFERROR(__xludf.dummyfunction("""COMPUTED_VALUE"""),5871)</f>
        <v>5871</v>
      </c>
      <c r="AG52" s="70" t="n">
        <f aca="false">IFERROR(__xludf.dummyfunction("""COMPUTED_VALUE"""),3429)</f>
        <v>3429</v>
      </c>
      <c r="AH52" s="70" t="n">
        <f aca="false">IFERROR(__xludf.dummyfunction("""COMPUTED_VALUE"""),360)</f>
        <v>360</v>
      </c>
      <c r="AI52" s="70" t="n">
        <f aca="false">IFERROR(__xludf.dummyfunction("""COMPUTED_VALUE"""),29211)</f>
        <v>29211</v>
      </c>
      <c r="AJ52" s="70" t="n">
        <f aca="false">IFERROR(__xludf.dummyfunction("""COMPUTED_VALUE"""),18725)</f>
        <v>18725</v>
      </c>
      <c r="AK52" s="70" t="n">
        <f aca="false">IFERROR(__xludf.dummyfunction("""COMPUTED_VALUE"""),115)</f>
        <v>115</v>
      </c>
      <c r="AL52" s="70" t="n">
        <f aca="false">IFERROR(__xludf.dummyfunction("""COMPUTED_VALUE"""),81928)</f>
        <v>81928</v>
      </c>
      <c r="AM52" s="70" t="n">
        <f aca="false">IFERROR(__xludf.dummyfunction("""COMPUTED_VALUE"""),7831)</f>
        <v>7831</v>
      </c>
      <c r="AN52" s="70" t="n">
        <f aca="false">IFERROR(__xludf.dummyfunction("""COMPUTED_VALUE"""),18819)</f>
        <v>18819</v>
      </c>
      <c r="AO52" s="70" t="n">
        <f aca="false">IFERROR(__xludf.dummyfunction("""COMPUTED_VALUE"""),63920)</f>
        <v>63920</v>
      </c>
      <c r="AP52" s="70" t="n">
        <f aca="false">IFERROR(__xludf.dummyfunction("""COMPUTED_VALUE"""),5683)</f>
        <v>5683</v>
      </c>
      <c r="AQ52" s="70" t="n">
        <f aca="false">IFERROR(__xludf.dummyfunction("""COMPUTED_VALUE"""),12903)</f>
        <v>12903</v>
      </c>
      <c r="AR52" s="70" t="n">
        <f aca="false">IFERROR(__xludf.dummyfunction("""COMPUTED_VALUE"""),2871)</f>
        <v>2871</v>
      </c>
      <c r="AS52" s="70" t="n">
        <f aca="false">IFERROR(__xludf.dummyfunction("""COMPUTED_VALUE"""),3016)</f>
        <v>3016</v>
      </c>
      <c r="AT52" s="70" t="n">
        <f aca="false">IFERROR(__xludf.dummyfunction("""COMPUTED_VALUE"""),26298)</f>
        <v>26298</v>
      </c>
      <c r="AU52" s="70" t="n">
        <f aca="false">IFERROR(__xludf.dummyfunction("""COMPUTED_VALUE"""),3574)</f>
        <v>3574</v>
      </c>
      <c r="AV52" s="70" t="n">
        <f aca="false">IFERROR(__xludf.dummyfunction("""COMPUTED_VALUE"""),2173)</f>
        <v>2173</v>
      </c>
      <c r="AW52" s="70" t="n">
        <f aca="false">IFERROR(__xludf.dummyfunction("""COMPUTED_VALUE"""),26572)</f>
        <v>26572</v>
      </c>
      <c r="AX52" s="70" t="n">
        <f aca="false">IFERROR(__xludf.dummyfunction("""COMPUTED_VALUE"""),11886)</f>
        <v>11886</v>
      </c>
      <c r="AY52" s="70" t="n">
        <f aca="false">IFERROR(__xludf.dummyfunction("""COMPUTED_VALUE"""),32374)</f>
        <v>32374</v>
      </c>
      <c r="AZ52" s="70" t="n">
        <f aca="false">IFERROR(__xludf.dummyfunction("""COMPUTED_VALUE"""),10957)</f>
        <v>10957</v>
      </c>
      <c r="BA52" s="70" t="n">
        <f aca="false">IFERROR(__xludf.dummyfunction("""COMPUTED_VALUE"""),970)</f>
        <v>970</v>
      </c>
    </row>
    <row r="53" customFormat="false" ht="15.75" hidden="false" customHeight="false" outlineLevel="0" collapsed="false">
      <c r="A53" s="78" t="str">
        <f aca="false">IFERROR(__xludf.dummyfunction("""COMPUTED_VALUE"""),"baths")</f>
        <v>baths</v>
      </c>
      <c r="B53" s="72" t="n">
        <f aca="false">IFERROR(__xludf.dummyfunction("""COMPUTED_VALUE"""),1428836)</f>
        <v>1428836</v>
      </c>
      <c r="C53" s="73" t="n">
        <f aca="false">IFERROR(__xludf.dummyfunction("""COMPUTED_VALUE"""),64367)</f>
        <v>64367</v>
      </c>
      <c r="D53" s="70" t="n">
        <f aca="false">IFERROR(__xludf.dummyfunction("""COMPUTED_VALUE"""),2230)</f>
        <v>2230</v>
      </c>
      <c r="E53" s="70" t="n">
        <f aca="false">IFERROR(__xludf.dummyfunction("""COMPUTED_VALUE"""),4043)</f>
        <v>4043</v>
      </c>
      <c r="F53" s="70" t="n">
        <f aca="false">IFERROR(__xludf.dummyfunction("""COMPUTED_VALUE"""),14735)</f>
        <v>14735</v>
      </c>
      <c r="G53" s="70" t="n">
        <f aca="false">IFERROR(__xludf.dummyfunction("""COMPUTED_VALUE"""),188238)</f>
        <v>188238</v>
      </c>
      <c r="H53" s="70" t="n">
        <f aca="false">IFERROR(__xludf.dummyfunction("""COMPUTED_VALUE"""),30564)</f>
        <v>30564</v>
      </c>
      <c r="I53" s="70" t="n">
        <f aca="false">IFERROR(__xludf.dummyfunction("""COMPUTED_VALUE"""),14359)</f>
        <v>14359</v>
      </c>
      <c r="J53" s="70" t="n">
        <f aca="false">IFERROR(__xludf.dummyfunction("""COMPUTED_VALUE"""),281)</f>
        <v>281</v>
      </c>
      <c r="K53" s="70" t="n">
        <f aca="false">IFERROR(__xludf.dummyfunction("""COMPUTED_VALUE"""),3430)</f>
        <v>3430</v>
      </c>
      <c r="L53" s="70" t="n">
        <f aca="false">IFERROR(__xludf.dummyfunction("""COMPUTED_VALUE"""),128702)</f>
        <v>128702</v>
      </c>
      <c r="M53" s="70" t="n">
        <f aca="false">IFERROR(__xludf.dummyfunction("""COMPUTED_VALUE"""),32378)</f>
        <v>32378</v>
      </c>
      <c r="N53" s="70" t="n">
        <f aca="false">IFERROR(__xludf.dummyfunction("""COMPUTED_VALUE"""),1738)</f>
        <v>1738</v>
      </c>
      <c r="O53" s="70" t="n">
        <f aca="false">IFERROR(__xludf.dummyfunction("""COMPUTED_VALUE"""),8473)</f>
        <v>8473</v>
      </c>
      <c r="P53" s="70" t="n">
        <f aca="false">IFERROR(__xludf.dummyfunction("""COMPUTED_VALUE"""),51609)</f>
        <v>51609</v>
      </c>
      <c r="Q53" s="70" t="n">
        <f aca="false">IFERROR(__xludf.dummyfunction("""COMPUTED_VALUE"""),1870)</f>
        <v>1870</v>
      </c>
      <c r="R53" s="70" t="n">
        <f aca="false">IFERROR(__xludf.dummyfunction("""COMPUTED_VALUE"""),4239)</f>
        <v>4239</v>
      </c>
      <c r="S53" s="70" t="n">
        <f aca="false">IFERROR(__xludf.dummyfunction("""COMPUTED_VALUE"""),20229)</f>
        <v>20229</v>
      </c>
      <c r="T53" s="70" t="n">
        <f aca="false">IFERROR(__xludf.dummyfunction("""COMPUTED_VALUE"""),22109)</f>
        <v>22109</v>
      </c>
      <c r="U53" s="70" t="n">
        <f aca="false">IFERROR(__xludf.dummyfunction("""COMPUTED_VALUE"""),2376)</f>
        <v>2376</v>
      </c>
      <c r="V53" s="70" t="n">
        <f aca="false">IFERROR(__xludf.dummyfunction("""COMPUTED_VALUE"""),6000)</f>
        <v>6000</v>
      </c>
      <c r="W53" s="70" t="n">
        <f aca="false">IFERROR(__xludf.dummyfunction("""COMPUTED_VALUE"""),7948)</f>
        <v>7948</v>
      </c>
      <c r="X53" s="70" t="n">
        <f aca="false">IFERROR(__xludf.dummyfunction("""COMPUTED_VALUE"""),65213)</f>
        <v>65213</v>
      </c>
      <c r="Y53" s="70" t="n">
        <f aca="false">IFERROR(__xludf.dummyfunction("""COMPUTED_VALUE"""),15848)</f>
        <v>15848</v>
      </c>
      <c r="Z53" s="70" t="n">
        <f aca="false">IFERROR(__xludf.dummyfunction("""COMPUTED_VALUE"""),15550)</f>
        <v>15550</v>
      </c>
      <c r="AA53" s="70" t="n">
        <f aca="false">IFERROR(__xludf.dummyfunction("""COMPUTED_VALUE"""),18046)</f>
        <v>18046</v>
      </c>
      <c r="AB53" s="70" t="n">
        <f aca="false">IFERROR(__xludf.dummyfunction("""COMPUTED_VALUE"""),10424)</f>
        <v>10424</v>
      </c>
      <c r="AC53" s="70" t="n">
        <f aca="false">IFERROR(__xludf.dummyfunction("""COMPUTED_VALUE"""),2290)</f>
        <v>2290</v>
      </c>
      <c r="AD53" s="70" t="n">
        <f aca="false">IFERROR(__xludf.dummyfunction("""COMPUTED_VALUE"""),6037)</f>
        <v>6037</v>
      </c>
      <c r="AE53" s="70" t="n">
        <f aca="false">IFERROR(__xludf.dummyfunction("""COMPUTED_VALUE"""),1938)</f>
        <v>1938</v>
      </c>
      <c r="AF53" s="70" t="n">
        <f aca="false">IFERROR(__xludf.dummyfunction("""COMPUTED_VALUE"""),14503)</f>
        <v>14503</v>
      </c>
      <c r="AG53" s="70" t="n">
        <f aca="false">IFERROR(__xludf.dummyfunction("""COMPUTED_VALUE"""),2873)</f>
        <v>2873</v>
      </c>
      <c r="AH53" s="70" t="n">
        <f aca="false">IFERROR(__xludf.dummyfunction("""COMPUTED_VALUE"""),440)</f>
        <v>440</v>
      </c>
      <c r="AI53" s="70" t="n">
        <f aca="false">IFERROR(__xludf.dummyfunction("""COMPUTED_VALUE"""),31287)</f>
        <v>31287</v>
      </c>
      <c r="AJ53" s="70" t="n">
        <f aca="false">IFERROR(__xludf.dummyfunction("""COMPUTED_VALUE"""),51969)</f>
        <v>51969</v>
      </c>
      <c r="AK53" s="70" t="n">
        <f aca="false">IFERROR(__xludf.dummyfunction("""COMPUTED_VALUE"""),332)</f>
        <v>332</v>
      </c>
      <c r="AL53" s="70" t="n">
        <f aca="false">IFERROR(__xludf.dummyfunction("""COMPUTED_VALUE"""),105925)</f>
        <v>105925</v>
      </c>
      <c r="AM53" s="70" t="n">
        <f aca="false">IFERROR(__xludf.dummyfunction("""COMPUTED_VALUE"""),30705)</f>
        <v>30705</v>
      </c>
      <c r="AN53" s="70" t="n">
        <f aca="false">IFERROR(__xludf.dummyfunction("""COMPUTED_VALUE"""),23297)</f>
        <v>23297</v>
      </c>
      <c r="AO53" s="70" t="n">
        <f aca="false">IFERROR(__xludf.dummyfunction("""COMPUTED_VALUE"""),62945)</f>
        <v>62945</v>
      </c>
      <c r="AP53" s="70" t="n">
        <f aca="false">IFERROR(__xludf.dummyfunction("""COMPUTED_VALUE"""),9804)</f>
        <v>9804</v>
      </c>
      <c r="AQ53" s="70" t="n">
        <f aca="false">IFERROR(__xludf.dummyfunction("""COMPUTED_VALUE"""),21475)</f>
        <v>21475</v>
      </c>
      <c r="AR53" s="70" t="n">
        <f aca="false">IFERROR(__xludf.dummyfunction("""COMPUTED_VALUE"""),5413)</f>
        <v>5413</v>
      </c>
      <c r="AS53" s="70" t="n">
        <f aca="false">IFERROR(__xludf.dummyfunction("""COMPUTED_VALUE"""),99695)</f>
        <v>99695</v>
      </c>
      <c r="AT53" s="70" t="n">
        <f aca="false">IFERROR(__xludf.dummyfunction("""COMPUTED_VALUE"""),107721)</f>
        <v>107721</v>
      </c>
      <c r="AU53" s="70" t="n">
        <f aca="false">IFERROR(__xludf.dummyfunction("""COMPUTED_VALUE"""),3702)</f>
        <v>3702</v>
      </c>
      <c r="AV53" s="70" t="n">
        <f aca="false">IFERROR(__xludf.dummyfunction("""COMPUTED_VALUE"""),4230)</f>
        <v>4230</v>
      </c>
      <c r="AW53" s="70" t="n">
        <f aca="false">IFERROR(__xludf.dummyfunction("""COMPUTED_VALUE"""),52138)</f>
        <v>52138</v>
      </c>
      <c r="AX53" s="70" t="n">
        <f aca="false">IFERROR(__xludf.dummyfunction("""COMPUTED_VALUE"""),12824)</f>
        <v>12824</v>
      </c>
      <c r="AY53" s="70" t="n">
        <f aca="false">IFERROR(__xludf.dummyfunction("""COMPUTED_VALUE"""),29376)</f>
        <v>29376</v>
      </c>
      <c r="AZ53" s="70" t="n">
        <f aca="false">IFERROR(__xludf.dummyfunction("""COMPUTED_VALUE"""),10695)</f>
        <v>10695</v>
      </c>
      <c r="BA53" s="70" t="n">
        <f aca="false">IFERROR(__xludf.dummyfunction("""COMPUTED_VALUE"""),2223)</f>
        <v>2223</v>
      </c>
    </row>
    <row r="54" customFormat="false" ht="15.75" hidden="false" customHeight="false" outlineLevel="0" collapsed="false">
      <c r="A54" s="78" t="str">
        <f aca="false">IFERROR(__xludf.dummyfunction("""COMPUTED_VALUE"""),"partial_baths_count")</f>
        <v>partial_baths_count</v>
      </c>
      <c r="B54" s="72" t="n">
        <f aca="false">IFERROR(__xludf.dummyfunction("""COMPUTED_VALUE"""),347726)</f>
        <v>347726</v>
      </c>
      <c r="C54" s="73" t="n">
        <f aca="false">IFERROR(__xludf.dummyfunction("""COMPUTED_VALUE"""),13403)</f>
        <v>13403</v>
      </c>
      <c r="D54" s="70" t="n">
        <f aca="false">IFERROR(__xludf.dummyfunction("""COMPUTED_VALUE"""),1204)</f>
        <v>1204</v>
      </c>
      <c r="E54" s="70" t="n">
        <f aca="false">IFERROR(__xludf.dummyfunction("""COMPUTED_VALUE"""),0)</f>
        <v>0</v>
      </c>
      <c r="F54" s="70" t="n">
        <f aca="false">IFERROR(__xludf.dummyfunction("""COMPUTED_VALUE"""),2083)</f>
        <v>2083</v>
      </c>
      <c r="G54" s="70" t="n">
        <f aca="false">IFERROR(__xludf.dummyfunction("""COMPUTED_VALUE"""),15681)</f>
        <v>15681</v>
      </c>
      <c r="H54" s="70" t="n">
        <f aca="false">IFERROR(__xludf.dummyfunction("""COMPUTED_VALUE"""),6049)</f>
        <v>6049</v>
      </c>
      <c r="I54" s="70" t="n">
        <f aca="false">IFERROR(__xludf.dummyfunction("""COMPUTED_VALUE"""),4694)</f>
        <v>4694</v>
      </c>
      <c r="J54" s="70" t="n">
        <f aca="false">IFERROR(__xludf.dummyfunction("""COMPUTED_VALUE"""),69)</f>
        <v>69</v>
      </c>
      <c r="K54" s="70" t="n">
        <f aca="false">IFERROR(__xludf.dummyfunction("""COMPUTED_VALUE"""),1664)</f>
        <v>1664</v>
      </c>
      <c r="L54" s="70" t="n">
        <f aca="false">IFERROR(__xludf.dummyfunction("""COMPUTED_VALUE"""),25876)</f>
        <v>25876</v>
      </c>
      <c r="M54" s="70" t="n">
        <f aca="false">IFERROR(__xludf.dummyfunction("""COMPUTED_VALUE"""),5645)</f>
        <v>5645</v>
      </c>
      <c r="N54" s="70" t="n">
        <f aca="false">IFERROR(__xludf.dummyfunction("""COMPUTED_VALUE"""),361)</f>
        <v>361</v>
      </c>
      <c r="O54" s="70" t="n">
        <f aca="false">IFERROR(__xludf.dummyfunction("""COMPUTED_VALUE"""),2640)</f>
        <v>2640</v>
      </c>
      <c r="P54" s="70" t="n">
        <f aca="false">IFERROR(__xludf.dummyfunction("""COMPUTED_VALUE"""),9192)</f>
        <v>9192</v>
      </c>
      <c r="Q54" s="70" t="n">
        <f aca="false">IFERROR(__xludf.dummyfunction("""COMPUTED_VALUE"""),443)</f>
        <v>443</v>
      </c>
      <c r="R54" s="70" t="n">
        <f aca="false">IFERROR(__xludf.dummyfunction("""COMPUTED_VALUE"""),1603)</f>
        <v>1603</v>
      </c>
      <c r="S54" s="70" t="n">
        <f aca="false">IFERROR(__xludf.dummyfunction("""COMPUTED_VALUE"""),1534)</f>
        <v>1534</v>
      </c>
      <c r="T54" s="70" t="n">
        <f aca="false">IFERROR(__xludf.dummyfunction("""COMPUTED_VALUE"""),6746)</f>
        <v>6746</v>
      </c>
      <c r="U54" s="70" t="n">
        <f aca="false">IFERROR(__xludf.dummyfunction("""COMPUTED_VALUE"""),313)</f>
        <v>313</v>
      </c>
      <c r="V54" s="70" t="n">
        <f aca="false">IFERROR(__xludf.dummyfunction("""COMPUTED_VALUE"""),1048)</f>
        <v>1048</v>
      </c>
      <c r="W54" s="70" t="n">
        <f aca="false">IFERROR(__xludf.dummyfunction("""COMPUTED_VALUE"""),3692)</f>
        <v>3692</v>
      </c>
      <c r="X54" s="70" t="n">
        <f aca="false">IFERROR(__xludf.dummyfunction("""COMPUTED_VALUE"""),31697)</f>
        <v>31697</v>
      </c>
      <c r="Y54" s="70" t="n">
        <f aca="false">IFERROR(__xludf.dummyfunction("""COMPUTED_VALUE"""),5334)</f>
        <v>5334</v>
      </c>
      <c r="Z54" s="70" t="n">
        <f aca="false">IFERROR(__xludf.dummyfunction("""COMPUTED_VALUE"""),2282)</f>
        <v>2282</v>
      </c>
      <c r="AA54" s="70" t="n">
        <f aca="false">IFERROR(__xludf.dummyfunction("""COMPUTED_VALUE"""),7689)</f>
        <v>7689</v>
      </c>
      <c r="AB54" s="70" t="n">
        <f aca="false">IFERROR(__xludf.dummyfunction("""COMPUTED_VALUE"""),1934)</f>
        <v>1934</v>
      </c>
      <c r="AC54" s="70" t="n">
        <f aca="false">IFERROR(__xludf.dummyfunction("""COMPUTED_VALUE"""),155)</f>
        <v>155</v>
      </c>
      <c r="AD54" s="70" t="n">
        <f aca="false">IFERROR(__xludf.dummyfunction("""COMPUTED_VALUE"""),947)</f>
        <v>947</v>
      </c>
      <c r="AE54" s="70" t="n">
        <f aca="false">IFERROR(__xludf.dummyfunction("""COMPUTED_VALUE"""),260)</f>
        <v>260</v>
      </c>
      <c r="AF54" s="70" t="n">
        <f aca="false">IFERROR(__xludf.dummyfunction("""COMPUTED_VALUE"""),5459)</f>
        <v>5459</v>
      </c>
      <c r="AG54" s="70" t="n">
        <f aca="false">IFERROR(__xludf.dummyfunction("""COMPUTED_VALUE"""),0)</f>
        <v>0</v>
      </c>
      <c r="AH54" s="70" t="n">
        <f aca="false">IFERROR(__xludf.dummyfunction("""COMPUTED_VALUE"""),19)</f>
        <v>19</v>
      </c>
      <c r="AI54" s="70" t="n">
        <f aca="false">IFERROR(__xludf.dummyfunction("""COMPUTED_VALUE"""),7708)</f>
        <v>7708</v>
      </c>
      <c r="AJ54" s="70" t="n">
        <f aca="false">IFERROR(__xludf.dummyfunction("""COMPUTED_VALUE"""),10902)</f>
        <v>10902</v>
      </c>
      <c r="AK54" s="70" t="n">
        <f aca="false">IFERROR(__xludf.dummyfunction("""COMPUTED_VALUE"""),6)</f>
        <v>6</v>
      </c>
      <c r="AL54" s="70" t="n">
        <f aca="false">IFERROR(__xludf.dummyfunction("""COMPUTED_VALUE"""),32751)</f>
        <v>32751</v>
      </c>
      <c r="AM54" s="70" t="n">
        <f aca="false">IFERROR(__xludf.dummyfunction("""COMPUTED_VALUE"""),865)</f>
        <v>865</v>
      </c>
      <c r="AN54" s="70" t="n">
        <f aca="false">IFERROR(__xludf.dummyfunction("""COMPUTED_VALUE"""),5310)</f>
        <v>5310</v>
      </c>
      <c r="AO54" s="70" t="n">
        <f aca="false">IFERROR(__xludf.dummyfunction("""COMPUTED_VALUE"""),18510)</f>
        <v>18510</v>
      </c>
      <c r="AP54" s="70" t="n">
        <f aca="false">IFERROR(__xludf.dummyfunction("""COMPUTED_VALUE"""),4047)</f>
        <v>4047</v>
      </c>
      <c r="AQ54" s="70" t="n">
        <f aca="false">IFERROR(__xludf.dummyfunction("""COMPUTED_VALUE"""),4551)</f>
        <v>4551</v>
      </c>
      <c r="AR54" s="70" t="n">
        <f aca="false">IFERROR(__xludf.dummyfunction("""COMPUTED_VALUE"""),138)</f>
        <v>138</v>
      </c>
      <c r="AS54" s="70" t="n">
        <f aca="false">IFERROR(__xludf.dummyfunction("""COMPUTED_VALUE"""),54609)</f>
        <v>54609</v>
      </c>
      <c r="AT54" s="70" t="n">
        <f aca="false">IFERROR(__xludf.dummyfunction("""COMPUTED_VALUE"""),7246)</f>
        <v>7246</v>
      </c>
      <c r="AU54" s="70" t="n">
        <f aca="false">IFERROR(__xludf.dummyfunction("""COMPUTED_VALUE"""),1197)</f>
        <v>1197</v>
      </c>
      <c r="AV54" s="70" t="n">
        <f aca="false">IFERROR(__xludf.dummyfunction("""COMPUTED_VALUE"""),2402)</f>
        <v>2402</v>
      </c>
      <c r="AW54" s="70" t="n">
        <f aca="false">IFERROR(__xludf.dummyfunction("""COMPUTED_VALUE"""),26516)</f>
        <v>26516</v>
      </c>
      <c r="AX54" s="70" t="n">
        <f aca="false">IFERROR(__xludf.dummyfunction("""COMPUTED_VALUE"""),3368)</f>
        <v>3368</v>
      </c>
      <c r="AY54" s="70" t="n">
        <f aca="false">IFERROR(__xludf.dummyfunction("""COMPUTED_VALUE"""),5947)</f>
        <v>5947</v>
      </c>
      <c r="AZ54" s="70" t="n">
        <f aca="false">IFERROR(__xludf.dummyfunction("""COMPUTED_VALUE"""),1883)</f>
        <v>1883</v>
      </c>
      <c r="BA54" s="70" t="n">
        <f aca="false">IFERROR(__xludf.dummyfunction("""COMPUTED_VALUE"""),54)</f>
        <v>54</v>
      </c>
    </row>
    <row r="55" customFormat="false" ht="15.75" hidden="false" customHeight="false" outlineLevel="0" collapsed="false">
      <c r="A55" s="78" t="str">
        <f aca="false">IFERROR(__xludf.dummyfunction("""COMPUTED_VALUE"""),"units_count")</f>
        <v>units_count</v>
      </c>
      <c r="B55" s="72" t="n">
        <f aca="false">IFERROR(__xludf.dummyfunction("""COMPUTED_VALUE"""),0)</f>
        <v>0</v>
      </c>
      <c r="C55" s="73" t="n">
        <f aca="false">IFERROR(__xludf.dummyfunction("""COMPUTED_VALUE"""),0)</f>
        <v>0</v>
      </c>
      <c r="D55" s="70" t="n">
        <f aca="false">IFERROR(__xludf.dummyfunction("""COMPUTED_VALUE"""),0)</f>
        <v>0</v>
      </c>
      <c r="E55" s="70" t="n">
        <f aca="false">IFERROR(__xludf.dummyfunction("""COMPUTED_VALUE"""),0)</f>
        <v>0</v>
      </c>
      <c r="F55" s="70" t="n">
        <f aca="false">IFERROR(__xludf.dummyfunction("""COMPUTED_VALUE"""),0)</f>
        <v>0</v>
      </c>
      <c r="G55" s="70" t="n">
        <f aca="false">IFERROR(__xludf.dummyfunction("""COMPUTED_VALUE"""),0)</f>
        <v>0</v>
      </c>
      <c r="H55" s="70" t="n">
        <f aca="false">IFERROR(__xludf.dummyfunction("""COMPUTED_VALUE"""),0)</f>
        <v>0</v>
      </c>
      <c r="I55" s="70" t="n">
        <f aca="false">IFERROR(__xludf.dummyfunction("""COMPUTED_VALUE"""),0)</f>
        <v>0</v>
      </c>
      <c r="J55" s="70" t="n">
        <f aca="false">IFERROR(__xludf.dummyfunction("""COMPUTED_VALUE"""),0)</f>
        <v>0</v>
      </c>
      <c r="K55" s="70" t="n">
        <f aca="false">IFERROR(__xludf.dummyfunction("""COMPUTED_VALUE"""),0)</f>
        <v>0</v>
      </c>
      <c r="L55" s="70" t="n">
        <f aca="false">IFERROR(__xludf.dummyfunction("""COMPUTED_VALUE"""),0)</f>
        <v>0</v>
      </c>
      <c r="M55" s="70" t="n">
        <f aca="false">IFERROR(__xludf.dummyfunction("""COMPUTED_VALUE"""),0)</f>
        <v>0</v>
      </c>
      <c r="N55" s="70" t="n">
        <f aca="false">IFERROR(__xludf.dummyfunction("""COMPUTED_VALUE"""),0)</f>
        <v>0</v>
      </c>
      <c r="O55" s="70" t="n">
        <f aca="false">IFERROR(__xludf.dummyfunction("""COMPUTED_VALUE"""),0)</f>
        <v>0</v>
      </c>
      <c r="P55" s="70" t="n">
        <f aca="false">IFERROR(__xludf.dummyfunction("""COMPUTED_VALUE"""),0)</f>
        <v>0</v>
      </c>
      <c r="Q55" s="70" t="n">
        <f aca="false">IFERROR(__xludf.dummyfunction("""COMPUTED_VALUE"""),0)</f>
        <v>0</v>
      </c>
      <c r="R55" s="70" t="n">
        <f aca="false">IFERROR(__xludf.dummyfunction("""COMPUTED_VALUE"""),0)</f>
        <v>0</v>
      </c>
      <c r="S55" s="70" t="n">
        <f aca="false">IFERROR(__xludf.dummyfunction("""COMPUTED_VALUE"""),0)</f>
        <v>0</v>
      </c>
      <c r="T55" s="70" t="n">
        <f aca="false">IFERROR(__xludf.dummyfunction("""COMPUTED_VALUE"""),0)</f>
        <v>0</v>
      </c>
      <c r="U55" s="70" t="n">
        <f aca="false">IFERROR(__xludf.dummyfunction("""COMPUTED_VALUE"""),0)</f>
        <v>0</v>
      </c>
      <c r="V55" s="70" t="n">
        <f aca="false">IFERROR(__xludf.dummyfunction("""COMPUTED_VALUE"""),0)</f>
        <v>0</v>
      </c>
      <c r="W55" s="70" t="n">
        <f aca="false">IFERROR(__xludf.dummyfunction("""COMPUTED_VALUE"""),0)</f>
        <v>0</v>
      </c>
      <c r="X55" s="70" t="n">
        <f aca="false">IFERROR(__xludf.dummyfunction("""COMPUTED_VALUE"""),0)</f>
        <v>0</v>
      </c>
      <c r="Y55" s="70" t="n">
        <f aca="false">IFERROR(__xludf.dummyfunction("""COMPUTED_VALUE"""),0)</f>
        <v>0</v>
      </c>
      <c r="Z55" s="70" t="n">
        <f aca="false">IFERROR(__xludf.dummyfunction("""COMPUTED_VALUE"""),0)</f>
        <v>0</v>
      </c>
      <c r="AA55" s="70" t="n">
        <f aca="false">IFERROR(__xludf.dummyfunction("""COMPUTED_VALUE"""),0)</f>
        <v>0</v>
      </c>
      <c r="AB55" s="70" t="n">
        <f aca="false">IFERROR(__xludf.dummyfunction("""COMPUTED_VALUE"""),0)</f>
        <v>0</v>
      </c>
      <c r="AC55" s="70" t="n">
        <f aca="false">IFERROR(__xludf.dummyfunction("""COMPUTED_VALUE"""),0)</f>
        <v>0</v>
      </c>
      <c r="AD55" s="70" t="n">
        <f aca="false">IFERROR(__xludf.dummyfunction("""COMPUTED_VALUE"""),0)</f>
        <v>0</v>
      </c>
      <c r="AE55" s="70" t="n">
        <f aca="false">IFERROR(__xludf.dummyfunction("""COMPUTED_VALUE"""),0)</f>
        <v>0</v>
      </c>
      <c r="AF55" s="70" t="n">
        <f aca="false">IFERROR(__xludf.dummyfunction("""COMPUTED_VALUE"""),0)</f>
        <v>0</v>
      </c>
      <c r="AG55" s="70" t="n">
        <f aca="false">IFERROR(__xludf.dummyfunction("""COMPUTED_VALUE"""),0)</f>
        <v>0</v>
      </c>
      <c r="AH55" s="70" t="n">
        <f aca="false">IFERROR(__xludf.dummyfunction("""COMPUTED_VALUE"""),0)</f>
        <v>0</v>
      </c>
      <c r="AI55" s="70" t="n">
        <f aca="false">IFERROR(__xludf.dummyfunction("""COMPUTED_VALUE"""),0)</f>
        <v>0</v>
      </c>
      <c r="AJ55" s="70" t="n">
        <f aca="false">IFERROR(__xludf.dummyfunction("""COMPUTED_VALUE"""),0)</f>
        <v>0</v>
      </c>
      <c r="AK55" s="70" t="n">
        <f aca="false">IFERROR(__xludf.dummyfunction("""COMPUTED_VALUE"""),0)</f>
        <v>0</v>
      </c>
      <c r="AL55" s="70" t="n">
        <f aca="false">IFERROR(__xludf.dummyfunction("""COMPUTED_VALUE"""),0)</f>
        <v>0</v>
      </c>
      <c r="AM55" s="70" t="n">
        <f aca="false">IFERROR(__xludf.dummyfunction("""COMPUTED_VALUE"""),0)</f>
        <v>0</v>
      </c>
      <c r="AN55" s="70" t="n">
        <f aca="false">IFERROR(__xludf.dummyfunction("""COMPUTED_VALUE"""),0)</f>
        <v>0</v>
      </c>
      <c r="AO55" s="70" t="n">
        <f aca="false">IFERROR(__xludf.dummyfunction("""COMPUTED_VALUE"""),0)</f>
        <v>0</v>
      </c>
      <c r="AP55" s="70" t="n">
        <f aca="false">IFERROR(__xludf.dummyfunction("""COMPUTED_VALUE"""),0)</f>
        <v>0</v>
      </c>
      <c r="AQ55" s="70" t="n">
        <f aca="false">IFERROR(__xludf.dummyfunction("""COMPUTED_VALUE"""),0)</f>
        <v>0</v>
      </c>
      <c r="AR55" s="70" t="n">
        <f aca="false">IFERROR(__xludf.dummyfunction("""COMPUTED_VALUE"""),0)</f>
        <v>0</v>
      </c>
      <c r="AS55" s="70" t="n">
        <f aca="false">IFERROR(__xludf.dummyfunction("""COMPUTED_VALUE"""),0)</f>
        <v>0</v>
      </c>
      <c r="AT55" s="70" t="n">
        <f aca="false">IFERROR(__xludf.dummyfunction("""COMPUTED_VALUE"""),0)</f>
        <v>0</v>
      </c>
      <c r="AU55" s="70" t="n">
        <f aca="false">IFERROR(__xludf.dummyfunction("""COMPUTED_VALUE"""),0)</f>
        <v>0</v>
      </c>
      <c r="AV55" s="70" t="n">
        <f aca="false">IFERROR(__xludf.dummyfunction("""COMPUTED_VALUE"""),0)</f>
        <v>0</v>
      </c>
      <c r="AW55" s="70" t="n">
        <f aca="false">IFERROR(__xludf.dummyfunction("""COMPUTED_VALUE"""),0)</f>
        <v>0</v>
      </c>
      <c r="AX55" s="70" t="n">
        <f aca="false">IFERROR(__xludf.dummyfunction("""COMPUTED_VALUE"""),0)</f>
        <v>0</v>
      </c>
      <c r="AY55" s="70" t="n">
        <f aca="false">IFERROR(__xludf.dummyfunction("""COMPUTED_VALUE"""),0)</f>
        <v>0</v>
      </c>
      <c r="AZ55" s="70" t="n">
        <f aca="false">IFERROR(__xludf.dummyfunction("""COMPUTED_VALUE"""),0)</f>
        <v>0</v>
      </c>
      <c r="BA55" s="70" t="n">
        <f aca="false">IFERROR(__xludf.dummyfunction("""COMPUTED_VALUE"""),0)</f>
        <v>0</v>
      </c>
    </row>
    <row r="56" customFormat="false" ht="15.75" hidden="false" customHeight="false" outlineLevel="0" collapsed="false">
      <c r="A56" s="78" t="str">
        <f aca="false">IFERROR(__xludf.dummyfunction("""COMPUTED_VALUE"""),"total_area_sq_ft")</f>
        <v>total_area_sq_ft</v>
      </c>
      <c r="B56" s="72" t="n">
        <f aca="false">IFERROR(__xludf.dummyfunction("""COMPUTED_VALUE"""),4726934)</f>
        <v>4726934</v>
      </c>
      <c r="C56" s="73" t="n">
        <f aca="false">IFERROR(__xludf.dummyfunction("""COMPUTED_VALUE"""),74533)</f>
        <v>74533</v>
      </c>
      <c r="D56" s="70" t="n">
        <f aca="false">IFERROR(__xludf.dummyfunction("""COMPUTED_VALUE"""),15440)</f>
        <v>15440</v>
      </c>
      <c r="E56" s="70" t="n">
        <f aca="false">IFERROR(__xludf.dummyfunction("""COMPUTED_VALUE"""),104564)</f>
        <v>104564</v>
      </c>
      <c r="F56" s="70" t="n">
        <f aca="false">IFERROR(__xludf.dummyfunction("""COMPUTED_VALUE"""),86733)</f>
        <v>86733</v>
      </c>
      <c r="G56" s="70" t="n">
        <f aca="false">IFERROR(__xludf.dummyfunction("""COMPUTED_VALUE"""),514836)</f>
        <v>514836</v>
      </c>
      <c r="H56" s="70" t="n">
        <f aca="false">IFERROR(__xludf.dummyfunction("""COMPUTED_VALUE"""),114181)</f>
        <v>114181</v>
      </c>
      <c r="I56" s="70" t="n">
        <f aca="false">IFERROR(__xludf.dummyfunction("""COMPUTED_VALUE"""),0)</f>
        <v>0</v>
      </c>
      <c r="J56" s="70" t="n">
        <f aca="false">IFERROR(__xludf.dummyfunction("""COMPUTED_VALUE"""),206)</f>
        <v>206</v>
      </c>
      <c r="K56" s="70" t="n">
        <f aca="false">IFERROR(__xludf.dummyfunction("""COMPUTED_VALUE"""),12329)</f>
        <v>12329</v>
      </c>
      <c r="L56" s="70" t="n">
        <f aca="false">IFERROR(__xludf.dummyfunction("""COMPUTED_VALUE"""),296469)</f>
        <v>296469</v>
      </c>
      <c r="M56" s="70" t="n">
        <f aca="false">IFERROR(__xludf.dummyfunction("""COMPUTED_VALUE"""),191343)</f>
        <v>191343</v>
      </c>
      <c r="N56" s="70" t="n">
        <f aca="false">IFERROR(__xludf.dummyfunction("""COMPUTED_VALUE"""),14768)</f>
        <v>14768</v>
      </c>
      <c r="O56" s="70" t="n">
        <f aca="false">IFERROR(__xludf.dummyfunction("""COMPUTED_VALUE"""),29397)</f>
        <v>29397</v>
      </c>
      <c r="P56" s="70" t="n">
        <f aca="false">IFERROR(__xludf.dummyfunction("""COMPUTED_VALUE"""),84747)</f>
        <v>84747</v>
      </c>
      <c r="Q56" s="70" t="n">
        <f aca="false">IFERROR(__xludf.dummyfunction("""COMPUTED_VALUE"""),140865)</f>
        <v>140865</v>
      </c>
      <c r="R56" s="70" t="n">
        <f aca="false">IFERROR(__xludf.dummyfunction("""COMPUTED_VALUE"""),86129)</f>
        <v>86129</v>
      </c>
      <c r="S56" s="70" t="n">
        <f aca="false">IFERROR(__xludf.dummyfunction("""COMPUTED_VALUE"""),83775)</f>
        <v>83775</v>
      </c>
      <c r="T56" s="70" t="n">
        <f aca="false">IFERROR(__xludf.dummyfunction("""COMPUTED_VALUE"""),61620)</f>
        <v>61620</v>
      </c>
      <c r="U56" s="70" t="n">
        <f aca="false">IFERROR(__xludf.dummyfunction("""COMPUTED_VALUE"""),17957)</f>
        <v>17957</v>
      </c>
      <c r="V56" s="70" t="n">
        <f aca="false">IFERROR(__xludf.dummyfunction("""COMPUTED_VALUE"""),0)</f>
        <v>0</v>
      </c>
      <c r="W56" s="70" t="n">
        <f aca="false">IFERROR(__xludf.dummyfunction("""COMPUTED_VALUE"""),70494)</f>
        <v>70494</v>
      </c>
      <c r="X56" s="70" t="n">
        <f aca="false">IFERROR(__xludf.dummyfunction("""COMPUTED_VALUE"""),0)</f>
        <v>0</v>
      </c>
      <c r="Y56" s="70" t="n">
        <f aca="false">IFERROR(__xludf.dummyfunction("""COMPUTED_VALUE"""),68727)</f>
        <v>68727</v>
      </c>
      <c r="Z56" s="70" t="n">
        <f aca="false">IFERROR(__xludf.dummyfunction("""COMPUTED_VALUE"""),80910)</f>
        <v>80910</v>
      </c>
      <c r="AA56" s="70" t="n">
        <f aca="false">IFERROR(__xludf.dummyfunction("""COMPUTED_VALUE"""),55067)</f>
        <v>55067</v>
      </c>
      <c r="AB56" s="70" t="n">
        <f aca="false">IFERROR(__xludf.dummyfunction("""COMPUTED_VALUE"""),78111)</f>
        <v>78111</v>
      </c>
      <c r="AC56" s="70" t="n">
        <f aca="false">IFERROR(__xludf.dummyfunction("""COMPUTED_VALUE"""),28414)</f>
        <v>28414</v>
      </c>
      <c r="AD56" s="70" t="n">
        <f aca="false">IFERROR(__xludf.dummyfunction("""COMPUTED_VALUE"""),59992)</f>
        <v>59992</v>
      </c>
      <c r="AE56" s="70" t="n">
        <f aca="false">IFERROR(__xludf.dummyfunction("""COMPUTED_VALUE"""),31132)</f>
        <v>31132</v>
      </c>
      <c r="AF56" s="70" t="n">
        <f aca="false">IFERROR(__xludf.dummyfunction("""COMPUTED_VALUE"""),0)</f>
        <v>0</v>
      </c>
      <c r="AG56" s="70" t="n">
        <f aca="false">IFERROR(__xludf.dummyfunction("""COMPUTED_VALUE"""),63815)</f>
        <v>63815</v>
      </c>
      <c r="AH56" s="70" t="n">
        <f aca="false">IFERROR(__xludf.dummyfunction("""COMPUTED_VALUE"""),25825)</f>
        <v>25825</v>
      </c>
      <c r="AI56" s="70" t="n">
        <f aca="false">IFERROR(__xludf.dummyfunction("""COMPUTED_VALUE"""),203268)</f>
        <v>203268</v>
      </c>
      <c r="AJ56" s="70" t="n">
        <f aca="false">IFERROR(__xludf.dummyfunction("""COMPUTED_VALUE"""),182018)</f>
        <v>182018</v>
      </c>
      <c r="AK56" s="70" t="n">
        <f aca="false">IFERROR(__xludf.dummyfunction("""COMPUTED_VALUE"""),3808)</f>
        <v>3808</v>
      </c>
      <c r="AL56" s="70" t="n">
        <f aca="false">IFERROR(__xludf.dummyfunction("""COMPUTED_VALUE"""),269579)</f>
        <v>269579</v>
      </c>
      <c r="AM56" s="70" t="n">
        <f aca="false">IFERROR(__xludf.dummyfunction("""COMPUTED_VALUE"""),95242)</f>
        <v>95242</v>
      </c>
      <c r="AN56" s="70" t="n">
        <f aca="false">IFERROR(__xludf.dummyfunction("""COMPUTED_VALUE"""),71719)</f>
        <v>71719</v>
      </c>
      <c r="AO56" s="70" t="n">
        <f aca="false">IFERROR(__xludf.dummyfunction("""COMPUTED_VALUE"""),208669)</f>
        <v>208669</v>
      </c>
      <c r="AP56" s="70" t="n">
        <f aca="false">IFERROR(__xludf.dummyfunction("""COMPUTED_VALUE"""),0)</f>
        <v>0</v>
      </c>
      <c r="AQ56" s="70" t="n">
        <f aca="false">IFERROR(__xludf.dummyfunction("""COMPUTED_VALUE"""),74739)</f>
        <v>74739</v>
      </c>
      <c r="AR56" s="70" t="n">
        <f aca="false">IFERROR(__xludf.dummyfunction("""COMPUTED_VALUE"""),14730)</f>
        <v>14730</v>
      </c>
      <c r="AS56" s="70" t="n">
        <f aca="false">IFERROR(__xludf.dummyfunction("""COMPUTED_VALUE"""),147830)</f>
        <v>147830</v>
      </c>
      <c r="AT56" s="70" t="n">
        <f aca="false">IFERROR(__xludf.dummyfunction("""COMPUTED_VALUE"""),587617)</f>
        <v>587617</v>
      </c>
      <c r="AU56" s="70" t="n">
        <f aca="false">IFERROR(__xludf.dummyfunction("""COMPUTED_VALUE"""),47309)</f>
        <v>47309</v>
      </c>
      <c r="AV56" s="70" t="n">
        <f aca="false">IFERROR(__xludf.dummyfunction("""COMPUTED_VALUE"""),5588)</f>
        <v>5588</v>
      </c>
      <c r="AW56" s="70" t="n">
        <f aca="false">IFERROR(__xludf.dummyfunction("""COMPUTED_VALUE"""),114491)</f>
        <v>114491</v>
      </c>
      <c r="AX56" s="70" t="n">
        <f aca="false">IFERROR(__xludf.dummyfunction("""COMPUTED_VALUE"""),123939)</f>
        <v>123939</v>
      </c>
      <c r="AY56" s="70" t="n">
        <f aca="false">IFERROR(__xludf.dummyfunction("""COMPUTED_VALUE"""),32640)</f>
        <v>32640</v>
      </c>
      <c r="AZ56" s="70" t="n">
        <f aca="false">IFERROR(__xludf.dummyfunction("""COMPUTED_VALUE"""),33143)</f>
        <v>33143</v>
      </c>
      <c r="BA56" s="70" t="n">
        <f aca="false">IFERROR(__xludf.dummyfunction("""COMPUTED_VALUE"""),18226)</f>
        <v>18226</v>
      </c>
    </row>
    <row r="57" customFormat="false" ht="15.75" hidden="false" customHeight="false" outlineLevel="0" collapsed="false">
      <c r="A57" s="78" t="str">
        <f aca="false">IFERROR(__xludf.dummyfunction("""COMPUTED_VALUE"""),"air_conditioning_type")</f>
        <v>air_conditioning_type</v>
      </c>
      <c r="B57" s="72" t="n">
        <f aca="false">IFERROR(__xludf.dummyfunction("""COMPUTED_VALUE"""),1141453)</f>
        <v>1141453</v>
      </c>
      <c r="C57" s="73" t="n">
        <f aca="false">IFERROR(__xludf.dummyfunction("""COMPUTED_VALUE"""),31624)</f>
        <v>31624</v>
      </c>
      <c r="D57" s="70" t="n">
        <f aca="false">IFERROR(__xludf.dummyfunction("""COMPUTED_VALUE"""),63)</f>
        <v>63</v>
      </c>
      <c r="E57" s="70" t="n">
        <f aca="false">IFERROR(__xludf.dummyfunction("""COMPUTED_VALUE"""),71340)</f>
        <v>71340</v>
      </c>
      <c r="F57" s="70" t="n">
        <f aca="false">IFERROR(__xludf.dummyfunction("""COMPUTED_VALUE"""),13315)</f>
        <v>13315</v>
      </c>
      <c r="G57" s="70" t="n">
        <f aca="false">IFERROR(__xludf.dummyfunction("""COMPUTED_VALUE"""),54087)</f>
        <v>54087</v>
      </c>
      <c r="H57" s="70" t="n">
        <f aca="false">IFERROR(__xludf.dummyfunction("""COMPUTED_VALUE"""),22844)</f>
        <v>22844</v>
      </c>
      <c r="I57" s="70" t="n">
        <f aca="false">IFERROR(__xludf.dummyfunction("""COMPUTED_VALUE"""),0)</f>
        <v>0</v>
      </c>
      <c r="J57" s="70" t="n">
        <f aca="false">IFERROR(__xludf.dummyfunction("""COMPUTED_VALUE"""),2272)</f>
        <v>2272</v>
      </c>
      <c r="K57" s="70" t="n">
        <f aca="false">IFERROR(__xludf.dummyfunction("""COMPUTED_VALUE"""),690)</f>
        <v>690</v>
      </c>
      <c r="L57" s="70" t="n">
        <f aca="false">IFERROR(__xludf.dummyfunction("""COMPUTED_VALUE"""),167758)</f>
        <v>167758</v>
      </c>
      <c r="M57" s="70" t="n">
        <f aca="false">IFERROR(__xludf.dummyfunction("""COMPUTED_VALUE"""),36888)</f>
        <v>36888</v>
      </c>
      <c r="N57" s="70" t="n">
        <f aca="false">IFERROR(__xludf.dummyfunction("""COMPUTED_VALUE"""),306)</f>
        <v>306</v>
      </c>
      <c r="O57" s="70" t="n">
        <f aca="false">IFERROR(__xludf.dummyfunction("""COMPUTED_VALUE"""),314)</f>
        <v>314</v>
      </c>
      <c r="P57" s="70" t="n">
        <f aca="false">IFERROR(__xludf.dummyfunction("""COMPUTED_VALUE"""),11891)</f>
        <v>11891</v>
      </c>
      <c r="Q57" s="70" t="n">
        <f aca="false">IFERROR(__xludf.dummyfunction("""COMPUTED_VALUE"""),700)</f>
        <v>700</v>
      </c>
      <c r="R57" s="70" t="n">
        <f aca="false">IFERROR(__xludf.dummyfunction("""COMPUTED_VALUE"""),1339)</f>
        <v>1339</v>
      </c>
      <c r="S57" s="70" t="n">
        <f aca="false">IFERROR(__xludf.dummyfunction("""COMPUTED_VALUE"""),7442)</f>
        <v>7442</v>
      </c>
      <c r="T57" s="70" t="n">
        <f aca="false">IFERROR(__xludf.dummyfunction("""COMPUTED_VALUE"""),19180)</f>
        <v>19180</v>
      </c>
      <c r="U57" s="70" t="n">
        <f aca="false">IFERROR(__xludf.dummyfunction("""COMPUTED_VALUE"""),58)</f>
        <v>58</v>
      </c>
      <c r="V57" s="70" t="n">
        <f aca="false">IFERROR(__xludf.dummyfunction("""COMPUTED_VALUE"""),0)</f>
        <v>0</v>
      </c>
      <c r="W57" s="70" t="n">
        <f aca="false">IFERROR(__xludf.dummyfunction("""COMPUTED_VALUE"""),5245)</f>
        <v>5245</v>
      </c>
      <c r="X57" s="70" t="n">
        <f aca="false">IFERROR(__xludf.dummyfunction("""COMPUTED_VALUE"""),0)</f>
        <v>0</v>
      </c>
      <c r="Y57" s="70" t="n">
        <f aca="false">IFERROR(__xludf.dummyfunction("""COMPUTED_VALUE"""),2030)</f>
        <v>2030</v>
      </c>
      <c r="Z57" s="70" t="n">
        <f aca="false">IFERROR(__xludf.dummyfunction("""COMPUTED_VALUE"""),13881)</f>
        <v>13881</v>
      </c>
      <c r="AA57" s="70" t="n">
        <f aca="false">IFERROR(__xludf.dummyfunction("""COMPUTED_VALUE"""),10624)</f>
        <v>10624</v>
      </c>
      <c r="AB57" s="70" t="n">
        <f aca="false">IFERROR(__xludf.dummyfunction("""COMPUTED_VALUE"""),2993)</f>
        <v>2993</v>
      </c>
      <c r="AC57" s="70" t="n">
        <f aca="false">IFERROR(__xludf.dummyfunction("""COMPUTED_VALUE"""),3240)</f>
        <v>3240</v>
      </c>
      <c r="AD57" s="70" t="n">
        <f aca="false">IFERROR(__xludf.dummyfunction("""COMPUTED_VALUE"""),9349)</f>
        <v>9349</v>
      </c>
      <c r="AE57" s="70" t="n">
        <f aca="false">IFERROR(__xludf.dummyfunction("""COMPUTED_VALUE"""),5101)</f>
        <v>5101</v>
      </c>
      <c r="AF57" s="70" t="n">
        <f aca="false">IFERROR(__xludf.dummyfunction("""COMPUTED_VALUE"""),0)</f>
        <v>0</v>
      </c>
      <c r="AG57" s="70" t="n">
        <f aca="false">IFERROR(__xludf.dummyfunction("""COMPUTED_VALUE"""),34)</f>
        <v>34</v>
      </c>
      <c r="AH57" s="70" t="n">
        <f aca="false">IFERROR(__xludf.dummyfunction("""COMPUTED_VALUE"""),458)</f>
        <v>458</v>
      </c>
      <c r="AI57" s="70" t="n">
        <f aca="false">IFERROR(__xludf.dummyfunction("""COMPUTED_VALUE"""),5744)</f>
        <v>5744</v>
      </c>
      <c r="AJ57" s="70" t="n">
        <f aca="false">IFERROR(__xludf.dummyfunction("""COMPUTED_VALUE"""),83349)</f>
        <v>83349</v>
      </c>
      <c r="AK57" s="70" t="n">
        <f aca="false">IFERROR(__xludf.dummyfunction("""COMPUTED_VALUE"""),0)</f>
        <v>0</v>
      </c>
      <c r="AL57" s="70" t="n">
        <f aca="false">IFERROR(__xludf.dummyfunction("""COMPUTED_VALUE"""),72349)</f>
        <v>72349</v>
      </c>
      <c r="AM57" s="70" t="n">
        <f aca="false">IFERROR(__xludf.dummyfunction("""COMPUTED_VALUE"""),61685)</f>
        <v>61685</v>
      </c>
      <c r="AN57" s="70" t="n">
        <f aca="false">IFERROR(__xludf.dummyfunction("""COMPUTED_VALUE"""),1586)</f>
        <v>1586</v>
      </c>
      <c r="AO57" s="70" t="n">
        <f aca="false">IFERROR(__xludf.dummyfunction("""COMPUTED_VALUE"""),40543)</f>
        <v>40543</v>
      </c>
      <c r="AP57" s="70" t="n">
        <f aca="false">IFERROR(__xludf.dummyfunction("""COMPUTED_VALUE"""),0)</f>
        <v>0</v>
      </c>
      <c r="AQ57" s="70" t="n">
        <f aca="false">IFERROR(__xludf.dummyfunction("""COMPUTED_VALUE"""),11223)</f>
        <v>11223</v>
      </c>
      <c r="AR57" s="70" t="n">
        <f aca="false">IFERROR(__xludf.dummyfunction("""COMPUTED_VALUE"""),3197)</f>
        <v>3197</v>
      </c>
      <c r="AS57" s="70" t="n">
        <f aca="false">IFERROR(__xludf.dummyfunction("""COMPUTED_VALUE"""),96845)</f>
        <v>96845</v>
      </c>
      <c r="AT57" s="70" t="n">
        <f aca="false">IFERROR(__xludf.dummyfunction("""COMPUTED_VALUE"""),203035)</f>
        <v>203035</v>
      </c>
      <c r="AU57" s="70" t="n">
        <f aca="false">IFERROR(__xludf.dummyfunction("""COMPUTED_VALUE"""),8049)</f>
        <v>8049</v>
      </c>
      <c r="AV57" s="70" t="n">
        <f aca="false">IFERROR(__xludf.dummyfunction("""COMPUTED_VALUE"""),0)</f>
        <v>0</v>
      </c>
      <c r="AW57" s="70" t="n">
        <f aca="false">IFERROR(__xludf.dummyfunction("""COMPUTED_VALUE"""),16784)</f>
        <v>16784</v>
      </c>
      <c r="AX57" s="70" t="n">
        <f aca="false">IFERROR(__xludf.dummyfunction("""COMPUTED_VALUE"""),12583)</f>
        <v>12583</v>
      </c>
      <c r="AY57" s="70" t="n">
        <f aca="false">IFERROR(__xludf.dummyfunction("""COMPUTED_VALUE"""),24144)</f>
        <v>24144</v>
      </c>
      <c r="AZ57" s="70" t="n">
        <f aca="false">IFERROR(__xludf.dummyfunction("""COMPUTED_VALUE"""),2671)</f>
        <v>2671</v>
      </c>
      <c r="BA57" s="70" t="n">
        <f aca="false">IFERROR(__xludf.dummyfunction("""COMPUTED_VALUE"""),2600)</f>
        <v>2600</v>
      </c>
    </row>
    <row r="58" customFormat="false" ht="15.75" hidden="false" customHeight="false" outlineLevel="0" collapsed="false">
      <c r="A58" s="78" t="str">
        <f aca="false">IFERROR(__xludf.dummyfunction("""COMPUTED_VALUE"""),"amenities")</f>
        <v>amenities</v>
      </c>
      <c r="B58" s="72" t="n">
        <f aca="false">IFERROR(__xludf.dummyfunction("""COMPUTED_VALUE"""),0)</f>
        <v>0</v>
      </c>
      <c r="C58" s="73" t="n">
        <f aca="false">IFERROR(__xludf.dummyfunction("""COMPUTED_VALUE"""),0)</f>
        <v>0</v>
      </c>
      <c r="D58" s="70" t="n">
        <f aca="false">IFERROR(__xludf.dummyfunction("""COMPUTED_VALUE"""),0)</f>
        <v>0</v>
      </c>
      <c r="E58" s="70" t="n">
        <f aca="false">IFERROR(__xludf.dummyfunction("""COMPUTED_VALUE"""),0)</f>
        <v>0</v>
      </c>
      <c r="F58" s="70" t="n">
        <f aca="false">IFERROR(__xludf.dummyfunction("""COMPUTED_VALUE"""),0)</f>
        <v>0</v>
      </c>
      <c r="G58" s="70" t="n">
        <f aca="false">IFERROR(__xludf.dummyfunction("""COMPUTED_VALUE"""),0)</f>
        <v>0</v>
      </c>
      <c r="H58" s="70" t="n">
        <f aca="false">IFERROR(__xludf.dummyfunction("""COMPUTED_VALUE"""),0)</f>
        <v>0</v>
      </c>
      <c r="I58" s="70" t="n">
        <f aca="false">IFERROR(__xludf.dummyfunction("""COMPUTED_VALUE"""),0)</f>
        <v>0</v>
      </c>
      <c r="J58" s="70" t="n">
        <f aca="false">IFERROR(__xludf.dummyfunction("""COMPUTED_VALUE"""),0)</f>
        <v>0</v>
      </c>
      <c r="K58" s="70" t="n">
        <f aca="false">IFERROR(__xludf.dummyfunction("""COMPUTED_VALUE"""),0)</f>
        <v>0</v>
      </c>
      <c r="L58" s="70" t="n">
        <f aca="false">IFERROR(__xludf.dummyfunction("""COMPUTED_VALUE"""),0)</f>
        <v>0</v>
      </c>
      <c r="M58" s="70" t="n">
        <f aca="false">IFERROR(__xludf.dummyfunction("""COMPUTED_VALUE"""),0)</f>
        <v>0</v>
      </c>
      <c r="N58" s="70" t="n">
        <f aca="false">IFERROR(__xludf.dummyfunction("""COMPUTED_VALUE"""),0)</f>
        <v>0</v>
      </c>
      <c r="O58" s="70" t="n">
        <f aca="false">IFERROR(__xludf.dummyfunction("""COMPUTED_VALUE"""),0)</f>
        <v>0</v>
      </c>
      <c r="P58" s="70" t="n">
        <f aca="false">IFERROR(__xludf.dummyfunction("""COMPUTED_VALUE"""),0)</f>
        <v>0</v>
      </c>
      <c r="Q58" s="70" t="n">
        <f aca="false">IFERROR(__xludf.dummyfunction("""COMPUTED_VALUE"""),0)</f>
        <v>0</v>
      </c>
      <c r="R58" s="70" t="n">
        <f aca="false">IFERROR(__xludf.dummyfunction("""COMPUTED_VALUE"""),0)</f>
        <v>0</v>
      </c>
      <c r="S58" s="70" t="n">
        <f aca="false">IFERROR(__xludf.dummyfunction("""COMPUTED_VALUE"""),0)</f>
        <v>0</v>
      </c>
      <c r="T58" s="70" t="n">
        <f aca="false">IFERROR(__xludf.dummyfunction("""COMPUTED_VALUE"""),0)</f>
        <v>0</v>
      </c>
      <c r="U58" s="70" t="n">
        <f aca="false">IFERROR(__xludf.dummyfunction("""COMPUTED_VALUE"""),0)</f>
        <v>0</v>
      </c>
      <c r="V58" s="70" t="n">
        <f aca="false">IFERROR(__xludf.dummyfunction("""COMPUTED_VALUE"""),0)</f>
        <v>0</v>
      </c>
      <c r="W58" s="70" t="n">
        <f aca="false">IFERROR(__xludf.dummyfunction("""COMPUTED_VALUE"""),0)</f>
        <v>0</v>
      </c>
      <c r="X58" s="70" t="n">
        <f aca="false">IFERROR(__xludf.dummyfunction("""COMPUTED_VALUE"""),0)</f>
        <v>0</v>
      </c>
      <c r="Y58" s="70" t="n">
        <f aca="false">IFERROR(__xludf.dummyfunction("""COMPUTED_VALUE"""),0)</f>
        <v>0</v>
      </c>
      <c r="Z58" s="70" t="n">
        <f aca="false">IFERROR(__xludf.dummyfunction("""COMPUTED_VALUE"""),0)</f>
        <v>0</v>
      </c>
      <c r="AA58" s="70" t="n">
        <f aca="false">IFERROR(__xludf.dummyfunction("""COMPUTED_VALUE"""),0)</f>
        <v>0</v>
      </c>
      <c r="AB58" s="70" t="n">
        <f aca="false">IFERROR(__xludf.dummyfunction("""COMPUTED_VALUE"""),0)</f>
        <v>0</v>
      </c>
      <c r="AC58" s="70" t="n">
        <f aca="false">IFERROR(__xludf.dummyfunction("""COMPUTED_VALUE"""),0)</f>
        <v>0</v>
      </c>
      <c r="AD58" s="70" t="n">
        <f aca="false">IFERROR(__xludf.dummyfunction("""COMPUTED_VALUE"""),0)</f>
        <v>0</v>
      </c>
      <c r="AE58" s="70" t="n">
        <f aca="false">IFERROR(__xludf.dummyfunction("""COMPUTED_VALUE"""),0)</f>
        <v>0</v>
      </c>
      <c r="AF58" s="70" t="n">
        <f aca="false">IFERROR(__xludf.dummyfunction("""COMPUTED_VALUE"""),0)</f>
        <v>0</v>
      </c>
      <c r="AG58" s="70" t="n">
        <f aca="false">IFERROR(__xludf.dummyfunction("""COMPUTED_VALUE"""),0)</f>
        <v>0</v>
      </c>
      <c r="AH58" s="70" t="n">
        <f aca="false">IFERROR(__xludf.dummyfunction("""COMPUTED_VALUE"""),0)</f>
        <v>0</v>
      </c>
      <c r="AI58" s="70" t="n">
        <f aca="false">IFERROR(__xludf.dummyfunction("""COMPUTED_VALUE"""),0)</f>
        <v>0</v>
      </c>
      <c r="AJ58" s="70" t="n">
        <f aca="false">IFERROR(__xludf.dummyfunction("""COMPUTED_VALUE"""),0)</f>
        <v>0</v>
      </c>
      <c r="AK58" s="70" t="n">
        <f aca="false">IFERROR(__xludf.dummyfunction("""COMPUTED_VALUE"""),0)</f>
        <v>0</v>
      </c>
      <c r="AL58" s="70" t="n">
        <f aca="false">IFERROR(__xludf.dummyfunction("""COMPUTED_VALUE"""),0)</f>
        <v>0</v>
      </c>
      <c r="AM58" s="70" t="n">
        <f aca="false">IFERROR(__xludf.dummyfunction("""COMPUTED_VALUE"""),0)</f>
        <v>0</v>
      </c>
      <c r="AN58" s="70" t="n">
        <f aca="false">IFERROR(__xludf.dummyfunction("""COMPUTED_VALUE"""),0)</f>
        <v>0</v>
      </c>
      <c r="AO58" s="70" t="n">
        <f aca="false">IFERROR(__xludf.dummyfunction("""COMPUTED_VALUE"""),0)</f>
        <v>0</v>
      </c>
      <c r="AP58" s="70" t="n">
        <f aca="false">IFERROR(__xludf.dummyfunction("""COMPUTED_VALUE"""),0)</f>
        <v>0</v>
      </c>
      <c r="AQ58" s="70" t="n">
        <f aca="false">IFERROR(__xludf.dummyfunction("""COMPUTED_VALUE"""),0)</f>
        <v>0</v>
      </c>
      <c r="AR58" s="70" t="n">
        <f aca="false">IFERROR(__xludf.dummyfunction("""COMPUTED_VALUE"""),0)</f>
        <v>0</v>
      </c>
      <c r="AS58" s="70" t="n">
        <f aca="false">IFERROR(__xludf.dummyfunction("""COMPUTED_VALUE"""),0)</f>
        <v>0</v>
      </c>
      <c r="AT58" s="70" t="n">
        <f aca="false">IFERROR(__xludf.dummyfunction("""COMPUTED_VALUE"""),0)</f>
        <v>0</v>
      </c>
      <c r="AU58" s="70" t="n">
        <f aca="false">IFERROR(__xludf.dummyfunction("""COMPUTED_VALUE"""),0)</f>
        <v>0</v>
      </c>
      <c r="AV58" s="70" t="n">
        <f aca="false">IFERROR(__xludf.dummyfunction("""COMPUTED_VALUE"""),0)</f>
        <v>0</v>
      </c>
      <c r="AW58" s="70" t="n">
        <f aca="false">IFERROR(__xludf.dummyfunction("""COMPUTED_VALUE"""),0)</f>
        <v>0</v>
      </c>
      <c r="AX58" s="70" t="n">
        <f aca="false">IFERROR(__xludf.dummyfunction("""COMPUTED_VALUE"""),0)</f>
        <v>0</v>
      </c>
      <c r="AY58" s="70" t="n">
        <f aca="false">IFERROR(__xludf.dummyfunction("""COMPUTED_VALUE"""),0)</f>
        <v>0</v>
      </c>
      <c r="AZ58" s="70" t="n">
        <f aca="false">IFERROR(__xludf.dummyfunction("""COMPUTED_VALUE"""),0)</f>
        <v>0</v>
      </c>
      <c r="BA58" s="70" t="n">
        <f aca="false">IFERROR(__xludf.dummyfunction("""COMPUTED_VALUE"""),0)</f>
        <v>0</v>
      </c>
    </row>
    <row r="59" customFormat="false" ht="15.75" hidden="false" customHeight="false" outlineLevel="0" collapsed="false">
      <c r="A59" s="78" t="str">
        <f aca="false">IFERROR(__xludf.dummyfunction("""COMPUTED_VALUE"""),"architecture_type")</f>
        <v>architecture_type</v>
      </c>
      <c r="B59" s="72" t="n">
        <f aca="false">IFERROR(__xludf.dummyfunction("""COMPUTED_VALUE"""),397923)</f>
        <v>397923</v>
      </c>
      <c r="C59" s="73" t="n">
        <f aca="false">IFERROR(__xludf.dummyfunction("""COMPUTED_VALUE"""),0)</f>
        <v>0</v>
      </c>
      <c r="D59" s="70" t="n">
        <f aca="false">IFERROR(__xludf.dummyfunction("""COMPUTED_VALUE"""),269)</f>
        <v>269</v>
      </c>
      <c r="E59" s="70" t="n">
        <f aca="false">IFERROR(__xludf.dummyfunction("""COMPUTED_VALUE"""),0)</f>
        <v>0</v>
      </c>
      <c r="F59" s="70" t="n">
        <f aca="false">IFERROR(__xludf.dummyfunction("""COMPUTED_VALUE"""),1039)</f>
        <v>1039</v>
      </c>
      <c r="G59" s="70" t="n">
        <f aca="false">IFERROR(__xludf.dummyfunction("""COMPUTED_VALUE"""),37717)</f>
        <v>37717</v>
      </c>
      <c r="H59" s="70" t="n">
        <f aca="false">IFERROR(__xludf.dummyfunction("""COMPUTED_VALUE"""),10259)</f>
        <v>10259</v>
      </c>
      <c r="I59" s="70" t="n">
        <f aca="false">IFERROR(__xludf.dummyfunction("""COMPUTED_VALUE"""),10518)</f>
        <v>10518</v>
      </c>
      <c r="J59" s="70" t="n">
        <f aca="false">IFERROR(__xludf.dummyfunction("""COMPUTED_VALUE"""),158)</f>
        <v>158</v>
      </c>
      <c r="K59" s="70" t="n">
        <f aca="false">IFERROR(__xludf.dummyfunction("""COMPUTED_VALUE"""),0)</f>
        <v>0</v>
      </c>
      <c r="L59" s="70" t="n">
        <f aca="false">IFERROR(__xludf.dummyfunction("""COMPUTED_VALUE"""),23808)</f>
        <v>23808</v>
      </c>
      <c r="M59" s="70" t="n">
        <f aca="false">IFERROR(__xludf.dummyfunction("""COMPUTED_VALUE"""),2595)</f>
        <v>2595</v>
      </c>
      <c r="N59" s="70" t="n">
        <f aca="false">IFERROR(__xludf.dummyfunction("""COMPUTED_VALUE"""),1042)</f>
        <v>1042</v>
      </c>
      <c r="O59" s="70" t="n">
        <f aca="false">IFERROR(__xludf.dummyfunction("""COMPUTED_VALUE"""),173)</f>
        <v>173</v>
      </c>
      <c r="P59" s="70" t="n">
        <f aca="false">IFERROR(__xludf.dummyfunction("""COMPUTED_VALUE"""),9004)</f>
        <v>9004</v>
      </c>
      <c r="Q59" s="70" t="n">
        <f aca="false">IFERROR(__xludf.dummyfunction("""COMPUTED_VALUE"""),0)</f>
        <v>0</v>
      </c>
      <c r="R59" s="70" t="n">
        <f aca="false">IFERROR(__xludf.dummyfunction("""COMPUTED_VALUE"""),148)</f>
        <v>148</v>
      </c>
      <c r="S59" s="70" t="n">
        <f aca="false">IFERROR(__xludf.dummyfunction("""COMPUTED_VALUE"""),6334)</f>
        <v>6334</v>
      </c>
      <c r="T59" s="70" t="n">
        <f aca="false">IFERROR(__xludf.dummyfunction("""COMPUTED_VALUE"""),2153)</f>
        <v>2153</v>
      </c>
      <c r="U59" s="70" t="n">
        <f aca="false">IFERROR(__xludf.dummyfunction("""COMPUTED_VALUE"""),2)</f>
        <v>2</v>
      </c>
      <c r="V59" s="70" t="n">
        <f aca="false">IFERROR(__xludf.dummyfunction("""COMPUTED_VALUE"""),3010)</f>
        <v>3010</v>
      </c>
      <c r="W59" s="70" t="n">
        <f aca="false">IFERROR(__xludf.dummyfunction("""COMPUTED_VALUE"""),1910)</f>
        <v>1910</v>
      </c>
      <c r="X59" s="70" t="n">
        <f aca="false">IFERROR(__xludf.dummyfunction("""COMPUTED_VALUE"""),15401)</f>
        <v>15401</v>
      </c>
      <c r="Y59" s="70" t="n">
        <f aca="false">IFERROR(__xludf.dummyfunction("""COMPUTED_VALUE"""),3323)</f>
        <v>3323</v>
      </c>
      <c r="Z59" s="70" t="n">
        <f aca="false">IFERROR(__xludf.dummyfunction("""COMPUTED_VALUE"""),2591)</f>
        <v>2591</v>
      </c>
      <c r="AA59" s="70" t="n">
        <f aca="false">IFERROR(__xludf.dummyfunction("""COMPUTED_VALUE"""),0)</f>
        <v>0</v>
      </c>
      <c r="AB59" s="70" t="n">
        <f aca="false">IFERROR(__xludf.dummyfunction("""COMPUTED_VALUE"""),4215)</f>
        <v>4215</v>
      </c>
      <c r="AC59" s="70" t="n">
        <f aca="false">IFERROR(__xludf.dummyfunction("""COMPUTED_VALUE"""),959)</f>
        <v>959</v>
      </c>
      <c r="AD59" s="70" t="n">
        <f aca="false">IFERROR(__xludf.dummyfunction("""COMPUTED_VALUE"""),1286)</f>
        <v>1286</v>
      </c>
      <c r="AE59" s="70" t="n">
        <f aca="false">IFERROR(__xludf.dummyfunction("""COMPUTED_VALUE"""),427)</f>
        <v>427</v>
      </c>
      <c r="AF59" s="70" t="n">
        <f aca="false">IFERROR(__xludf.dummyfunction("""COMPUTED_VALUE"""),7520)</f>
        <v>7520</v>
      </c>
      <c r="AG59" s="70" t="n">
        <f aca="false">IFERROR(__xludf.dummyfunction("""COMPUTED_VALUE"""),17601)</f>
        <v>17601</v>
      </c>
      <c r="AH59" s="70" t="n">
        <f aca="false">IFERROR(__xludf.dummyfunction("""COMPUTED_VALUE"""),201)</f>
        <v>201</v>
      </c>
      <c r="AI59" s="70" t="n">
        <f aca="false">IFERROR(__xludf.dummyfunction("""COMPUTED_VALUE"""),28988)</f>
        <v>28988</v>
      </c>
      <c r="AJ59" s="70" t="n">
        <f aca="false">IFERROR(__xludf.dummyfunction("""COMPUTED_VALUE"""),34736)</f>
        <v>34736</v>
      </c>
      <c r="AK59" s="70" t="n">
        <f aca="false">IFERROR(__xludf.dummyfunction("""COMPUTED_VALUE"""),42)</f>
        <v>42</v>
      </c>
      <c r="AL59" s="70" t="n">
        <f aca="false">IFERROR(__xludf.dummyfunction("""COMPUTED_VALUE"""),55161)</f>
        <v>55161</v>
      </c>
      <c r="AM59" s="70" t="n">
        <f aca="false">IFERROR(__xludf.dummyfunction("""COMPUTED_VALUE"""),5785)</f>
        <v>5785</v>
      </c>
      <c r="AN59" s="70" t="n">
        <f aca="false">IFERROR(__xludf.dummyfunction("""COMPUTED_VALUE"""),5163)</f>
        <v>5163</v>
      </c>
      <c r="AO59" s="70" t="n">
        <f aca="false">IFERROR(__xludf.dummyfunction("""COMPUTED_VALUE"""),37167)</f>
        <v>37167</v>
      </c>
      <c r="AP59" s="70" t="n">
        <f aca="false">IFERROR(__xludf.dummyfunction("""COMPUTED_VALUE"""),1595)</f>
        <v>1595</v>
      </c>
      <c r="AQ59" s="70" t="n">
        <f aca="false">IFERROR(__xludf.dummyfunction("""COMPUTED_VALUE"""),10524)</f>
        <v>10524</v>
      </c>
      <c r="AR59" s="70" t="n">
        <f aca="false">IFERROR(__xludf.dummyfunction("""COMPUTED_VALUE"""),487)</f>
        <v>487</v>
      </c>
      <c r="AS59" s="70" t="n">
        <f aca="false">IFERROR(__xludf.dummyfunction("""COMPUTED_VALUE"""),531)</f>
        <v>531</v>
      </c>
      <c r="AT59" s="70" t="n">
        <f aca="false">IFERROR(__xludf.dummyfunction("""COMPUTED_VALUE"""),10573)</f>
        <v>10573</v>
      </c>
      <c r="AU59" s="70" t="n">
        <f aca="false">IFERROR(__xludf.dummyfunction("""COMPUTED_VALUE"""),1843)</f>
        <v>1843</v>
      </c>
      <c r="AV59" s="70" t="n">
        <f aca="false">IFERROR(__xludf.dummyfunction("""COMPUTED_VALUE"""),1378)</f>
        <v>1378</v>
      </c>
      <c r="AW59" s="70" t="n">
        <f aca="false">IFERROR(__xludf.dummyfunction("""COMPUTED_VALUE"""),2863)</f>
        <v>2863</v>
      </c>
      <c r="AX59" s="70" t="n">
        <f aca="false">IFERROR(__xludf.dummyfunction("""COMPUTED_VALUE"""),4860)</f>
        <v>4860</v>
      </c>
      <c r="AY59" s="70" t="n">
        <f aca="false">IFERROR(__xludf.dummyfunction("""COMPUTED_VALUE"""),31195)</f>
        <v>31195</v>
      </c>
      <c r="AZ59" s="70" t="n">
        <f aca="false">IFERROR(__xludf.dummyfunction("""COMPUTED_VALUE"""),1130)</f>
        <v>1130</v>
      </c>
      <c r="BA59" s="70" t="n">
        <f aca="false">IFERROR(__xludf.dummyfunction("""COMPUTED_VALUE"""),239)</f>
        <v>239</v>
      </c>
    </row>
    <row r="60" customFormat="false" ht="15.75" hidden="false" customHeight="false" outlineLevel="0" collapsed="false">
      <c r="A60" s="78" t="str">
        <f aca="false">IFERROR(__xludf.dummyfunction("""COMPUTED_VALUE"""),"basement_type")</f>
        <v>basement_type</v>
      </c>
      <c r="B60" s="72" t="n">
        <f aca="false">IFERROR(__xludf.dummyfunction("""COMPUTED_VALUE"""),120984)</f>
        <v>120984</v>
      </c>
      <c r="C60" s="73" t="n">
        <f aca="false">IFERROR(__xludf.dummyfunction("""COMPUTED_VALUE"""),1598)</f>
        <v>1598</v>
      </c>
      <c r="D60" s="70" t="n">
        <f aca="false">IFERROR(__xludf.dummyfunction("""COMPUTED_VALUE"""),172)</f>
        <v>172</v>
      </c>
      <c r="E60" s="70" t="n">
        <f aca="false">IFERROR(__xludf.dummyfunction("""COMPUTED_VALUE"""),422)</f>
        <v>422</v>
      </c>
      <c r="F60" s="70" t="n">
        <f aca="false">IFERROR(__xludf.dummyfunction("""COMPUTED_VALUE"""),170)</f>
        <v>170</v>
      </c>
      <c r="G60" s="70" t="n">
        <f aca="false">IFERROR(__xludf.dummyfunction("""COMPUTED_VALUE"""),71)</f>
        <v>71</v>
      </c>
      <c r="H60" s="70" t="n">
        <f aca="false">IFERROR(__xludf.dummyfunction("""COMPUTED_VALUE"""),6172)</f>
        <v>6172</v>
      </c>
      <c r="I60" s="70" t="n">
        <f aca="false">IFERROR(__xludf.dummyfunction("""COMPUTED_VALUE"""),0)</f>
        <v>0</v>
      </c>
      <c r="J60" s="70" t="n">
        <f aca="false">IFERROR(__xludf.dummyfunction("""COMPUTED_VALUE"""),36)</f>
        <v>36</v>
      </c>
      <c r="K60" s="70" t="n">
        <f aca="false">IFERROR(__xludf.dummyfunction("""COMPUTED_VALUE"""),120)</f>
        <v>120</v>
      </c>
      <c r="L60" s="70" t="n">
        <f aca="false">IFERROR(__xludf.dummyfunction("""COMPUTED_VALUE"""),437)</f>
        <v>437</v>
      </c>
      <c r="M60" s="70" t="n">
        <f aca="false">IFERROR(__xludf.dummyfunction("""COMPUTED_VALUE"""),987)</f>
        <v>987</v>
      </c>
      <c r="N60" s="70" t="n">
        <f aca="false">IFERROR(__xludf.dummyfunction("""COMPUTED_VALUE"""),140)</f>
        <v>140</v>
      </c>
      <c r="O60" s="70" t="n">
        <f aca="false">IFERROR(__xludf.dummyfunction("""COMPUTED_VALUE"""),456)</f>
        <v>456</v>
      </c>
      <c r="P60" s="70" t="n">
        <f aca="false">IFERROR(__xludf.dummyfunction("""COMPUTED_VALUE"""),36202)</f>
        <v>36202</v>
      </c>
      <c r="Q60" s="70" t="n">
        <f aca="false">IFERROR(__xludf.dummyfunction("""COMPUTED_VALUE"""),538)</f>
        <v>538</v>
      </c>
      <c r="R60" s="70" t="n">
        <f aca="false">IFERROR(__xludf.dummyfunction("""COMPUTED_VALUE"""),1039)</f>
        <v>1039</v>
      </c>
      <c r="S60" s="70" t="n">
        <f aca="false">IFERROR(__xludf.dummyfunction("""COMPUTED_VALUE"""),1603)</f>
        <v>1603</v>
      </c>
      <c r="T60" s="70" t="n">
        <f aca="false">IFERROR(__xludf.dummyfunction("""COMPUTED_VALUE"""),3831)</f>
        <v>3831</v>
      </c>
      <c r="U60" s="70" t="n">
        <f aca="false">IFERROR(__xludf.dummyfunction("""COMPUTED_VALUE"""),138)</f>
        <v>138</v>
      </c>
      <c r="V60" s="70" t="n">
        <f aca="false">IFERROR(__xludf.dummyfunction("""COMPUTED_VALUE"""),0)</f>
        <v>0</v>
      </c>
      <c r="W60" s="70" t="n">
        <f aca="false">IFERROR(__xludf.dummyfunction("""COMPUTED_VALUE"""),1772)</f>
        <v>1772</v>
      </c>
      <c r="X60" s="70" t="n">
        <f aca="false">IFERROR(__xludf.dummyfunction("""COMPUTED_VALUE"""),0)</f>
        <v>0</v>
      </c>
      <c r="Y60" s="70" t="n">
        <f aca="false">IFERROR(__xludf.dummyfunction("""COMPUTED_VALUE"""),948)</f>
        <v>948</v>
      </c>
      <c r="Z60" s="70" t="n">
        <f aca="false">IFERROR(__xludf.dummyfunction("""COMPUTED_VALUE"""),2822)</f>
        <v>2822</v>
      </c>
      <c r="AA60" s="70" t="n">
        <f aca="false">IFERROR(__xludf.dummyfunction("""COMPUTED_VALUE"""),7)</f>
        <v>7</v>
      </c>
      <c r="AB60" s="70" t="n">
        <f aca="false">IFERROR(__xludf.dummyfunction("""COMPUTED_VALUE"""),2979)</f>
        <v>2979</v>
      </c>
      <c r="AC60" s="70" t="n">
        <f aca="false">IFERROR(__xludf.dummyfunction("""COMPUTED_VALUE"""),0)</f>
        <v>0</v>
      </c>
      <c r="AD60" s="70" t="n">
        <f aca="false">IFERROR(__xludf.dummyfunction("""COMPUTED_VALUE"""),5015)</f>
        <v>5015</v>
      </c>
      <c r="AE60" s="70" t="n">
        <f aca="false">IFERROR(__xludf.dummyfunction("""COMPUTED_VALUE"""),349)</f>
        <v>349</v>
      </c>
      <c r="AF60" s="70" t="n">
        <f aca="false">IFERROR(__xludf.dummyfunction("""COMPUTED_VALUE"""),0)</f>
        <v>0</v>
      </c>
      <c r="AG60" s="70" t="n">
        <f aca="false">IFERROR(__xludf.dummyfunction("""COMPUTED_VALUE"""),0)</f>
        <v>0</v>
      </c>
      <c r="AH60" s="70" t="n">
        <f aca="false">IFERROR(__xludf.dummyfunction("""COMPUTED_VALUE"""),7)</f>
        <v>7</v>
      </c>
      <c r="AI60" s="70" t="n">
        <f aca="false">IFERROR(__xludf.dummyfunction("""COMPUTED_VALUE"""),158)</f>
        <v>158</v>
      </c>
      <c r="AJ60" s="70" t="n">
        <f aca="false">IFERROR(__xludf.dummyfunction("""COMPUTED_VALUE"""),3588)</f>
        <v>3588</v>
      </c>
      <c r="AK60" s="70" t="n">
        <f aca="false">IFERROR(__xludf.dummyfunction("""COMPUTED_VALUE"""),21)</f>
        <v>21</v>
      </c>
      <c r="AL60" s="70" t="n">
        <f aca="false">IFERROR(__xludf.dummyfunction("""COMPUTED_VALUE"""),17217)</f>
        <v>17217</v>
      </c>
      <c r="AM60" s="70" t="n">
        <f aca="false">IFERROR(__xludf.dummyfunction("""COMPUTED_VALUE"""),737)</f>
        <v>737</v>
      </c>
      <c r="AN60" s="70" t="n">
        <f aca="false">IFERROR(__xludf.dummyfunction("""COMPUTED_VALUE"""),774)</f>
        <v>774</v>
      </c>
      <c r="AO60" s="70" t="n">
        <f aca="false">IFERROR(__xludf.dummyfunction("""COMPUTED_VALUE"""),17201)</f>
        <v>17201</v>
      </c>
      <c r="AP60" s="70" t="n">
        <f aca="false">IFERROR(__xludf.dummyfunction("""COMPUTED_VALUE"""),0)</f>
        <v>0</v>
      </c>
      <c r="AQ60" s="70" t="n">
        <f aca="false">IFERROR(__xludf.dummyfunction("""COMPUTED_VALUE"""),530)</f>
        <v>530</v>
      </c>
      <c r="AR60" s="70" t="n">
        <f aca="false">IFERROR(__xludf.dummyfunction("""COMPUTED_VALUE"""),832)</f>
        <v>832</v>
      </c>
      <c r="AS60" s="70" t="n">
        <f aca="false">IFERROR(__xludf.dummyfunction("""COMPUTED_VALUE"""),1561)</f>
        <v>1561</v>
      </c>
      <c r="AT60" s="70" t="n">
        <f aca="false">IFERROR(__xludf.dummyfunction("""COMPUTED_VALUE"""),508)</f>
        <v>508</v>
      </c>
      <c r="AU60" s="70" t="n">
        <f aca="false">IFERROR(__xludf.dummyfunction("""COMPUTED_VALUE"""),1423)</f>
        <v>1423</v>
      </c>
      <c r="AV60" s="70" t="n">
        <f aca="false">IFERROR(__xludf.dummyfunction("""COMPUTED_VALUE"""),361)</f>
        <v>361</v>
      </c>
      <c r="AW60" s="70" t="n">
        <f aca="false">IFERROR(__xludf.dummyfunction("""COMPUTED_VALUE"""),2886)</f>
        <v>2886</v>
      </c>
      <c r="AX60" s="70" t="n">
        <f aca="false">IFERROR(__xludf.dummyfunction("""COMPUTED_VALUE"""),2044)</f>
        <v>2044</v>
      </c>
      <c r="AY60" s="70" t="n">
        <f aca="false">IFERROR(__xludf.dummyfunction("""COMPUTED_VALUE"""),1179)</f>
        <v>1179</v>
      </c>
      <c r="AZ60" s="70" t="n">
        <f aca="false">IFERROR(__xludf.dummyfunction("""COMPUTED_VALUE"""),430)</f>
        <v>430</v>
      </c>
      <c r="BA60" s="70" t="n">
        <f aca="false">IFERROR(__xludf.dummyfunction("""COMPUTED_VALUE"""),1503)</f>
        <v>1503</v>
      </c>
    </row>
    <row r="61" customFormat="false" ht="15.75" hidden="false" customHeight="false" outlineLevel="0" collapsed="false">
      <c r="A61" s="78" t="str">
        <f aca="false">IFERROR(__xludf.dummyfunction("""COMPUTED_VALUE"""),"condition")</f>
        <v>condition</v>
      </c>
      <c r="B61" s="72" t="n">
        <f aca="false">IFERROR(__xludf.dummyfunction("""COMPUTED_VALUE"""),2392527)</f>
        <v>2392527</v>
      </c>
      <c r="C61" s="73" t="n">
        <f aca="false">IFERROR(__xludf.dummyfunction("""COMPUTED_VALUE"""),91823)</f>
        <v>91823</v>
      </c>
      <c r="D61" s="70" t="n">
        <f aca="false">IFERROR(__xludf.dummyfunction("""COMPUTED_VALUE"""),1384)</f>
        <v>1384</v>
      </c>
      <c r="E61" s="70" t="n">
        <f aca="false">IFERROR(__xludf.dummyfunction("""COMPUTED_VALUE"""),5269)</f>
        <v>5269</v>
      </c>
      <c r="F61" s="70" t="n">
        <f aca="false">IFERROR(__xludf.dummyfunction("""COMPUTED_VALUE"""),17772)</f>
        <v>17772</v>
      </c>
      <c r="G61" s="70" t="n">
        <f aca="false">IFERROR(__xludf.dummyfunction("""COMPUTED_VALUE"""),132391)</f>
        <v>132391</v>
      </c>
      <c r="H61" s="70" t="n">
        <f aca="false">IFERROR(__xludf.dummyfunction("""COMPUTED_VALUE"""),55212)</f>
        <v>55212</v>
      </c>
      <c r="I61" s="70" t="n">
        <f aca="false">IFERROR(__xludf.dummyfunction("""COMPUTED_VALUE"""),50270)</f>
        <v>50270</v>
      </c>
      <c r="J61" s="70" t="n">
        <f aca="false">IFERROR(__xludf.dummyfunction("""COMPUTED_VALUE"""),196)</f>
        <v>196</v>
      </c>
      <c r="K61" s="70" t="n">
        <f aca="false">IFERROR(__xludf.dummyfunction("""COMPUTED_VALUE"""),11094)</f>
        <v>11094</v>
      </c>
      <c r="L61" s="70" t="n">
        <f aca="false">IFERROR(__xludf.dummyfunction("""COMPUTED_VALUE"""),64337)</f>
        <v>64337</v>
      </c>
      <c r="M61" s="70" t="n">
        <f aca="false">IFERROR(__xludf.dummyfunction("""COMPUTED_VALUE"""),42095)</f>
        <v>42095</v>
      </c>
      <c r="N61" s="70" t="n">
        <f aca="false">IFERROR(__xludf.dummyfunction("""COMPUTED_VALUE"""),1441)</f>
        <v>1441</v>
      </c>
      <c r="O61" s="70" t="n">
        <f aca="false">IFERROR(__xludf.dummyfunction("""COMPUTED_VALUE"""),10091)</f>
        <v>10091</v>
      </c>
      <c r="P61" s="70" t="n">
        <f aca="false">IFERROR(__xludf.dummyfunction("""COMPUTED_VALUE"""),48364)</f>
        <v>48364</v>
      </c>
      <c r="Q61" s="70" t="n">
        <f aca="false">IFERROR(__xludf.dummyfunction("""COMPUTED_VALUE"""),143964)</f>
        <v>143964</v>
      </c>
      <c r="R61" s="70" t="n">
        <f aca="false">IFERROR(__xludf.dummyfunction("""COMPUTED_VALUE"""),50005)</f>
        <v>50005</v>
      </c>
      <c r="S61" s="70" t="n">
        <f aca="false">IFERROR(__xludf.dummyfunction("""COMPUTED_VALUE"""),10552)</f>
        <v>10552</v>
      </c>
      <c r="T61" s="70" t="n">
        <f aca="false">IFERROR(__xludf.dummyfunction("""COMPUTED_VALUE"""),40895)</f>
        <v>40895</v>
      </c>
      <c r="U61" s="70" t="n">
        <f aca="false">IFERROR(__xludf.dummyfunction("""COMPUTED_VALUE"""),8658)</f>
        <v>8658</v>
      </c>
      <c r="V61" s="70" t="n">
        <f aca="false">IFERROR(__xludf.dummyfunction("""COMPUTED_VALUE"""),12410)</f>
        <v>12410</v>
      </c>
      <c r="W61" s="70" t="n">
        <f aca="false">IFERROR(__xludf.dummyfunction("""COMPUTED_VALUE"""),57650)</f>
        <v>57650</v>
      </c>
      <c r="X61" s="70" t="n">
        <f aca="false">IFERROR(__xludf.dummyfunction("""COMPUTED_VALUE"""),105237)</f>
        <v>105237</v>
      </c>
      <c r="Y61" s="70" t="n">
        <f aca="false">IFERROR(__xludf.dummyfunction("""COMPUTED_VALUE"""),1)</f>
        <v>1</v>
      </c>
      <c r="Z61" s="70" t="n">
        <f aca="false">IFERROR(__xludf.dummyfunction("""COMPUTED_VALUE"""),21866)</f>
        <v>21866</v>
      </c>
      <c r="AA61" s="70" t="n">
        <f aca="false">IFERROR(__xludf.dummyfunction("""COMPUTED_VALUE"""),39836)</f>
        <v>39836</v>
      </c>
      <c r="AB61" s="70" t="n">
        <f aca="false">IFERROR(__xludf.dummyfunction("""COMPUTED_VALUE"""),34335)</f>
        <v>34335</v>
      </c>
      <c r="AC61" s="70" t="n">
        <f aca="false">IFERROR(__xludf.dummyfunction("""COMPUTED_VALUE"""),11377)</f>
        <v>11377</v>
      </c>
      <c r="AD61" s="70" t="n">
        <f aca="false">IFERROR(__xludf.dummyfunction("""COMPUTED_VALUE"""),42653)</f>
        <v>42653</v>
      </c>
      <c r="AE61" s="70" t="n">
        <f aca="false">IFERROR(__xludf.dummyfunction("""COMPUTED_VALUE"""),257)</f>
        <v>257</v>
      </c>
      <c r="AF61" s="70" t="n">
        <f aca="false">IFERROR(__xludf.dummyfunction("""COMPUTED_VALUE"""),25036)</f>
        <v>25036</v>
      </c>
      <c r="AG61" s="70" t="n">
        <f aca="false">IFERROR(__xludf.dummyfunction("""COMPUTED_VALUE"""),0)</f>
        <v>0</v>
      </c>
      <c r="AH61" s="70" t="n">
        <f aca="false">IFERROR(__xludf.dummyfunction("""COMPUTED_VALUE"""),4305)</f>
        <v>4305</v>
      </c>
      <c r="AI61" s="70" t="n">
        <f aca="false">IFERROR(__xludf.dummyfunction("""COMPUTED_VALUE"""),221170)</f>
        <v>221170</v>
      </c>
      <c r="AJ61" s="70" t="n">
        <f aca="false">IFERROR(__xludf.dummyfunction("""COMPUTED_VALUE"""),94210)</f>
        <v>94210</v>
      </c>
      <c r="AK61" s="70" t="n">
        <f aca="false">IFERROR(__xludf.dummyfunction("""COMPUTED_VALUE"""),2258)</f>
        <v>2258</v>
      </c>
      <c r="AL61" s="70" t="n">
        <f aca="false">IFERROR(__xludf.dummyfunction("""COMPUTED_VALUE"""),185379)</f>
        <v>185379</v>
      </c>
      <c r="AM61" s="70" t="n">
        <f aca="false">IFERROR(__xludf.dummyfunction("""COMPUTED_VALUE"""),99077)</f>
        <v>99077</v>
      </c>
      <c r="AN61" s="70" t="n">
        <f aca="false">IFERROR(__xludf.dummyfunction("""COMPUTED_VALUE"""),10438)</f>
        <v>10438</v>
      </c>
      <c r="AO61" s="70" t="n">
        <f aca="false">IFERROR(__xludf.dummyfunction("""COMPUTED_VALUE"""),87898)</f>
        <v>87898</v>
      </c>
      <c r="AP61" s="70" t="n">
        <f aca="false">IFERROR(__xludf.dummyfunction("""COMPUTED_VALUE"""),22784)</f>
        <v>22784</v>
      </c>
      <c r="AQ61" s="70" t="n">
        <f aca="false">IFERROR(__xludf.dummyfunction("""COMPUTED_VALUE"""),40070)</f>
        <v>40070</v>
      </c>
      <c r="AR61" s="70" t="n">
        <f aca="false">IFERROR(__xludf.dummyfunction("""COMPUTED_VALUE"""),3912)</f>
        <v>3912</v>
      </c>
      <c r="AS61" s="70" t="n">
        <f aca="false">IFERROR(__xludf.dummyfunction("""COMPUTED_VALUE"""),82188)</f>
        <v>82188</v>
      </c>
      <c r="AT61" s="70" t="n">
        <f aca="false">IFERROR(__xludf.dummyfunction("""COMPUTED_VALUE"""),173375)</f>
        <v>173375</v>
      </c>
      <c r="AU61" s="70" t="n">
        <f aca="false">IFERROR(__xludf.dummyfunction("""COMPUTED_VALUE"""),17556)</f>
        <v>17556</v>
      </c>
      <c r="AV61" s="70" t="n">
        <f aca="false">IFERROR(__xludf.dummyfunction("""COMPUTED_VALUE"""),5878)</f>
        <v>5878</v>
      </c>
      <c r="AW61" s="70" t="n">
        <f aca="false">IFERROR(__xludf.dummyfunction("""COMPUTED_VALUE"""),85848)</f>
        <v>85848</v>
      </c>
      <c r="AX61" s="70" t="n">
        <f aca="false">IFERROR(__xludf.dummyfunction("""COMPUTED_VALUE"""),84870)</f>
        <v>84870</v>
      </c>
      <c r="AY61" s="70" t="n">
        <f aca="false">IFERROR(__xludf.dummyfunction("""COMPUTED_VALUE"""),8079)</f>
        <v>8079</v>
      </c>
      <c r="AZ61" s="70" t="n">
        <f aca="false">IFERROR(__xludf.dummyfunction("""COMPUTED_VALUE"""),8689)</f>
        <v>8689</v>
      </c>
      <c r="BA61" s="70" t="n">
        <f aca="false">IFERROR(__xludf.dummyfunction("""COMPUTED_VALUE"""),18072)</f>
        <v>18072</v>
      </c>
    </row>
    <row r="62" customFormat="false" ht="15.75" hidden="false" customHeight="false" outlineLevel="0" collapsed="false">
      <c r="A62" s="78" t="str">
        <f aca="false">IFERROR(__xludf.dummyfunction("""COMPUTED_VALUE"""),"construction_type")</f>
        <v>construction_type</v>
      </c>
      <c r="B62" s="72" t="n">
        <f aca="false">IFERROR(__xludf.dummyfunction("""COMPUTED_VALUE"""),1421658)</f>
        <v>1421658</v>
      </c>
      <c r="C62" s="73" t="n">
        <f aca="false">IFERROR(__xludf.dummyfunction("""COMPUTED_VALUE"""),0)</f>
        <v>0</v>
      </c>
      <c r="D62" s="70" t="n">
        <f aca="false">IFERROR(__xludf.dummyfunction("""COMPUTED_VALUE"""),528)</f>
        <v>528</v>
      </c>
      <c r="E62" s="70" t="n">
        <f aca="false">IFERROR(__xludf.dummyfunction("""COMPUTED_VALUE"""),95445)</f>
        <v>95445</v>
      </c>
      <c r="F62" s="70" t="n">
        <f aca="false">IFERROR(__xludf.dummyfunction("""COMPUTED_VALUE"""),1093)</f>
        <v>1093</v>
      </c>
      <c r="G62" s="70" t="n">
        <f aca="false">IFERROR(__xludf.dummyfunction("""COMPUTED_VALUE"""),243922)</f>
        <v>243922</v>
      </c>
      <c r="H62" s="70" t="n">
        <f aca="false">IFERROR(__xludf.dummyfunction("""COMPUTED_VALUE"""),30212)</f>
        <v>30212</v>
      </c>
      <c r="I62" s="70" t="n">
        <f aca="false">IFERROR(__xludf.dummyfunction("""COMPUTED_VALUE"""),35419)</f>
        <v>35419</v>
      </c>
      <c r="J62" s="70" t="n">
        <f aca="false">IFERROR(__xludf.dummyfunction("""COMPUTED_VALUE"""),106)</f>
        <v>106</v>
      </c>
      <c r="K62" s="70" t="n">
        <f aca="false">IFERROR(__xludf.dummyfunction("""COMPUTED_VALUE"""),12231)</f>
        <v>12231</v>
      </c>
      <c r="L62" s="70" t="n">
        <f aca="false">IFERROR(__xludf.dummyfunction("""COMPUTED_VALUE"""),207228)</f>
        <v>207228</v>
      </c>
      <c r="M62" s="70" t="n">
        <f aca="false">IFERROR(__xludf.dummyfunction("""COMPUTED_VALUE"""),38938)</f>
        <v>38938</v>
      </c>
      <c r="N62" s="70" t="n">
        <f aca="false">IFERROR(__xludf.dummyfunction("""COMPUTED_VALUE"""),498)</f>
        <v>498</v>
      </c>
      <c r="O62" s="70" t="n">
        <f aca="false">IFERROR(__xludf.dummyfunction("""COMPUTED_VALUE"""),543)</f>
        <v>543</v>
      </c>
      <c r="P62" s="70" t="n">
        <f aca="false">IFERROR(__xludf.dummyfunction("""COMPUTED_VALUE"""),7057)</f>
        <v>7057</v>
      </c>
      <c r="Q62" s="70" t="n">
        <f aca="false">IFERROR(__xludf.dummyfunction("""COMPUTED_VALUE"""),97752)</f>
        <v>97752</v>
      </c>
      <c r="R62" s="70" t="n">
        <f aca="false">IFERROR(__xludf.dummyfunction("""COMPUTED_VALUE"""),11414)</f>
        <v>11414</v>
      </c>
      <c r="S62" s="70" t="n">
        <f aca="false">IFERROR(__xludf.dummyfunction("""COMPUTED_VALUE"""),5976)</f>
        <v>5976</v>
      </c>
      <c r="T62" s="70" t="n">
        <f aca="false">IFERROR(__xludf.dummyfunction("""COMPUTED_VALUE"""),33481)</f>
        <v>33481</v>
      </c>
      <c r="U62" s="70" t="n">
        <f aca="false">IFERROR(__xludf.dummyfunction("""COMPUTED_VALUE"""),1556)</f>
        <v>1556</v>
      </c>
      <c r="V62" s="70" t="n">
        <f aca="false">IFERROR(__xludf.dummyfunction("""COMPUTED_VALUE"""),8271)</f>
        <v>8271</v>
      </c>
      <c r="W62" s="70" t="n">
        <f aca="false">IFERROR(__xludf.dummyfunction("""COMPUTED_VALUE"""),35779)</f>
        <v>35779</v>
      </c>
      <c r="X62" s="70" t="n">
        <f aca="false">IFERROR(__xludf.dummyfunction("""COMPUTED_VALUE"""),75193)</f>
        <v>75193</v>
      </c>
      <c r="Y62" s="70" t="n">
        <f aca="false">IFERROR(__xludf.dummyfunction("""COMPUTED_VALUE"""),1359)</f>
        <v>1359</v>
      </c>
      <c r="Z62" s="70" t="n">
        <f aca="false">IFERROR(__xludf.dummyfunction("""COMPUTED_VALUE"""),25041)</f>
        <v>25041</v>
      </c>
      <c r="AA62" s="70" t="n">
        <f aca="false">IFERROR(__xludf.dummyfunction("""COMPUTED_VALUE"""),1794)</f>
        <v>1794</v>
      </c>
      <c r="AB62" s="70" t="n">
        <f aca="false">IFERROR(__xludf.dummyfunction("""COMPUTED_VALUE"""),22410)</f>
        <v>22410</v>
      </c>
      <c r="AC62" s="70" t="n">
        <f aca="false">IFERROR(__xludf.dummyfunction("""COMPUTED_VALUE"""),1967)</f>
        <v>1967</v>
      </c>
      <c r="AD62" s="70" t="n">
        <f aca="false">IFERROR(__xludf.dummyfunction("""COMPUTED_VALUE"""),1840)</f>
        <v>1840</v>
      </c>
      <c r="AE62" s="70" t="n">
        <f aca="false">IFERROR(__xludf.dummyfunction("""COMPUTED_VALUE"""),24893)</f>
        <v>24893</v>
      </c>
      <c r="AF62" s="70" t="n">
        <f aca="false">IFERROR(__xludf.dummyfunction("""COMPUTED_VALUE"""),15744)</f>
        <v>15744</v>
      </c>
      <c r="AG62" s="70" t="n">
        <f aca="false">IFERROR(__xludf.dummyfunction("""COMPUTED_VALUE"""),7317)</f>
        <v>7317</v>
      </c>
      <c r="AH62" s="70" t="n">
        <f aca="false">IFERROR(__xludf.dummyfunction("""COMPUTED_VALUE"""),565)</f>
        <v>565</v>
      </c>
      <c r="AI62" s="70" t="n">
        <f aca="false">IFERROR(__xludf.dummyfunction("""COMPUTED_VALUE"""),0)</f>
        <v>0</v>
      </c>
      <c r="AJ62" s="70" t="n">
        <f aca="false">IFERROR(__xludf.dummyfunction("""COMPUTED_VALUE"""),17911)</f>
        <v>17911</v>
      </c>
      <c r="AK62" s="70" t="n">
        <f aca="false">IFERROR(__xludf.dummyfunction("""COMPUTED_VALUE"""),1)</f>
        <v>1</v>
      </c>
      <c r="AL62" s="70" t="n">
        <f aca="false">IFERROR(__xludf.dummyfunction("""COMPUTED_VALUE"""),41014)</f>
        <v>41014</v>
      </c>
      <c r="AM62" s="70" t="n">
        <f aca="false">IFERROR(__xludf.dummyfunction("""COMPUTED_VALUE"""),32285)</f>
        <v>32285</v>
      </c>
      <c r="AN62" s="70" t="n">
        <f aca="false">IFERROR(__xludf.dummyfunction("""COMPUTED_VALUE"""),11424)</f>
        <v>11424</v>
      </c>
      <c r="AO62" s="70" t="n">
        <f aca="false">IFERROR(__xludf.dummyfunction("""COMPUTED_VALUE"""),19398)</f>
        <v>19398</v>
      </c>
      <c r="AP62" s="70" t="n">
        <f aca="false">IFERROR(__xludf.dummyfunction("""COMPUTED_VALUE"""),15717)</f>
        <v>15717</v>
      </c>
      <c r="AQ62" s="70" t="n">
        <f aca="false">IFERROR(__xludf.dummyfunction("""COMPUTED_VALUE"""),0)</f>
        <v>0</v>
      </c>
      <c r="AR62" s="70" t="n">
        <f aca="false">IFERROR(__xludf.dummyfunction("""COMPUTED_VALUE"""),2411)</f>
        <v>2411</v>
      </c>
      <c r="AS62" s="70" t="n">
        <f aca="false">IFERROR(__xludf.dummyfunction("""COMPUTED_VALUE"""),6520)</f>
        <v>6520</v>
      </c>
      <c r="AT62" s="70" t="n">
        <f aca="false">IFERROR(__xludf.dummyfunction("""COMPUTED_VALUE"""),130740)</f>
        <v>130740</v>
      </c>
      <c r="AU62" s="70" t="n">
        <f aca="false">IFERROR(__xludf.dummyfunction("""COMPUTED_VALUE"""),6222)</f>
        <v>6222</v>
      </c>
      <c r="AV62" s="70" t="n">
        <f aca="false">IFERROR(__xludf.dummyfunction("""COMPUTED_VALUE"""),2299)</f>
        <v>2299</v>
      </c>
      <c r="AW62" s="70" t="n">
        <f aca="false">IFERROR(__xludf.dummyfunction("""COMPUTED_VALUE"""),21917)</f>
        <v>21917</v>
      </c>
      <c r="AX62" s="70" t="n">
        <f aca="false">IFERROR(__xludf.dummyfunction("""COMPUTED_VALUE"""),66976)</f>
        <v>66976</v>
      </c>
      <c r="AY62" s="70" t="n">
        <f aca="false">IFERROR(__xludf.dummyfunction("""COMPUTED_VALUE"""),1251)</f>
        <v>1251</v>
      </c>
      <c r="AZ62" s="70" t="n">
        <f aca="false">IFERROR(__xludf.dummyfunction("""COMPUTED_VALUE"""),0)</f>
        <v>0</v>
      </c>
      <c r="BA62" s="70" t="n">
        <f aca="false">IFERROR(__xludf.dummyfunction("""COMPUTED_VALUE"""),0)</f>
        <v>0</v>
      </c>
    </row>
    <row r="63" customFormat="false" ht="15.75" hidden="false" customHeight="false" outlineLevel="0" collapsed="false">
      <c r="A63" s="78" t="str">
        <f aca="false">IFERROR(__xludf.dummyfunction("""COMPUTED_VALUE"""),"exterior_wall_type")</f>
        <v>exterior_wall_type</v>
      </c>
      <c r="B63" s="72" t="n">
        <f aca="false">IFERROR(__xludf.dummyfunction("""COMPUTED_VALUE"""),2699372)</f>
        <v>2699372</v>
      </c>
      <c r="C63" s="73" t="n">
        <f aca="false">IFERROR(__xludf.dummyfunction("""COMPUTED_VALUE"""),110659)</f>
        <v>110659</v>
      </c>
      <c r="D63" s="70" t="n">
        <f aca="false">IFERROR(__xludf.dummyfunction("""COMPUTED_VALUE"""),3408)</f>
        <v>3408</v>
      </c>
      <c r="E63" s="70" t="n">
        <f aca="false">IFERROR(__xludf.dummyfunction("""COMPUTED_VALUE"""),93557)</f>
        <v>93557</v>
      </c>
      <c r="F63" s="70" t="n">
        <f aca="false">IFERROR(__xludf.dummyfunction("""COMPUTED_VALUE"""),76018)</f>
        <v>76018</v>
      </c>
      <c r="G63" s="70" t="n">
        <f aca="false">IFERROR(__xludf.dummyfunction("""COMPUTED_VALUE"""),84437)</f>
        <v>84437</v>
      </c>
      <c r="H63" s="70" t="n">
        <f aca="false">IFERROR(__xludf.dummyfunction("""COMPUTED_VALUE"""),48272)</f>
        <v>48272</v>
      </c>
      <c r="I63" s="70" t="n">
        <f aca="false">IFERROR(__xludf.dummyfunction("""COMPUTED_VALUE"""),42278)</f>
        <v>42278</v>
      </c>
      <c r="J63" s="70" t="n">
        <f aca="false">IFERROR(__xludf.dummyfunction("""COMPUTED_VALUE"""),299)</f>
        <v>299</v>
      </c>
      <c r="K63" s="70" t="n">
        <f aca="false">IFERROR(__xludf.dummyfunction("""COMPUTED_VALUE"""),17165)</f>
        <v>17165</v>
      </c>
      <c r="L63" s="70" t="n">
        <f aca="false">IFERROR(__xludf.dummyfunction("""COMPUTED_VALUE"""),276999)</f>
        <v>276999</v>
      </c>
      <c r="M63" s="70" t="n">
        <f aca="false">IFERROR(__xludf.dummyfunction("""COMPUTED_VALUE"""),82117)</f>
        <v>82117</v>
      </c>
      <c r="N63" s="70" t="n">
        <f aca="false">IFERROR(__xludf.dummyfunction("""COMPUTED_VALUE"""),982)</f>
        <v>982</v>
      </c>
      <c r="O63" s="70" t="n">
        <f aca="false">IFERROR(__xludf.dummyfunction("""COMPUTED_VALUE"""),5981)</f>
        <v>5981</v>
      </c>
      <c r="P63" s="70" t="n">
        <f aca="false">IFERROR(__xludf.dummyfunction("""COMPUTED_VALUE"""),48353)</f>
        <v>48353</v>
      </c>
      <c r="Q63" s="70" t="n">
        <f aca="false">IFERROR(__xludf.dummyfunction("""COMPUTED_VALUE"""),4299)</f>
        <v>4299</v>
      </c>
      <c r="R63" s="70" t="n">
        <f aca="false">IFERROR(__xludf.dummyfunction("""COMPUTED_VALUE"""),18289)</f>
        <v>18289</v>
      </c>
      <c r="S63" s="70" t="n">
        <f aca="false">IFERROR(__xludf.dummyfunction("""COMPUTED_VALUE"""),10268)</f>
        <v>10268</v>
      </c>
      <c r="T63" s="70" t="n">
        <f aca="false">IFERROR(__xludf.dummyfunction("""COMPUTED_VALUE"""),47798)</f>
        <v>47798</v>
      </c>
      <c r="U63" s="70" t="n">
        <f aca="false">IFERROR(__xludf.dummyfunction("""COMPUTED_VALUE"""),900)</f>
        <v>900</v>
      </c>
      <c r="V63" s="70" t="n">
        <f aca="false">IFERROR(__xludf.dummyfunction("""COMPUTED_VALUE"""),10351)</f>
        <v>10351</v>
      </c>
      <c r="W63" s="70" t="n">
        <f aca="false">IFERROR(__xludf.dummyfunction("""COMPUTED_VALUE"""),35319)</f>
        <v>35319</v>
      </c>
      <c r="X63" s="70" t="n">
        <f aca="false">IFERROR(__xludf.dummyfunction("""COMPUTED_VALUE"""),92610)</f>
        <v>92610</v>
      </c>
      <c r="Y63" s="70" t="n">
        <f aca="false">IFERROR(__xludf.dummyfunction("""COMPUTED_VALUE"""),10809)</f>
        <v>10809</v>
      </c>
      <c r="Z63" s="70" t="n">
        <f aca="false">IFERROR(__xludf.dummyfunction("""COMPUTED_VALUE"""),46278)</f>
        <v>46278</v>
      </c>
      <c r="AA63" s="70" t="n">
        <f aca="false">IFERROR(__xludf.dummyfunction("""COMPUTED_VALUE"""),36078)</f>
        <v>36078</v>
      </c>
      <c r="AB63" s="70" t="n">
        <f aca="false">IFERROR(__xludf.dummyfunction("""COMPUTED_VALUE"""),34398)</f>
        <v>34398</v>
      </c>
      <c r="AC63" s="70" t="n">
        <f aca="false">IFERROR(__xludf.dummyfunction("""COMPUTED_VALUE"""),6376)</f>
        <v>6376</v>
      </c>
      <c r="AD63" s="70" t="n">
        <f aca="false">IFERROR(__xludf.dummyfunction("""COMPUTED_VALUE"""),29946)</f>
        <v>29946</v>
      </c>
      <c r="AE63" s="70" t="n">
        <f aca="false">IFERROR(__xludf.dummyfunction("""COMPUTED_VALUE"""),27142)</f>
        <v>27142</v>
      </c>
      <c r="AF63" s="70" t="n">
        <f aca="false">IFERROR(__xludf.dummyfunction("""COMPUTED_VALUE"""),22441)</f>
        <v>22441</v>
      </c>
      <c r="AG63" s="70" t="n">
        <f aca="false">IFERROR(__xludf.dummyfunction("""COMPUTED_VALUE"""),113981)</f>
        <v>113981</v>
      </c>
      <c r="AH63" s="70" t="n">
        <f aca="false">IFERROR(__xludf.dummyfunction("""COMPUTED_VALUE"""),4588)</f>
        <v>4588</v>
      </c>
      <c r="AI63" s="70" t="n">
        <f aca="false">IFERROR(__xludf.dummyfunction("""COMPUTED_VALUE"""),32387)</f>
        <v>32387</v>
      </c>
      <c r="AJ63" s="70" t="n">
        <f aca="false">IFERROR(__xludf.dummyfunction("""COMPUTED_VALUE"""),175021)</f>
        <v>175021</v>
      </c>
      <c r="AK63" s="70" t="n">
        <f aca="false">IFERROR(__xludf.dummyfunction("""COMPUTED_VALUE"""),159)</f>
        <v>159</v>
      </c>
      <c r="AL63" s="70" t="n">
        <f aca="false">IFERROR(__xludf.dummyfunction("""COMPUTED_VALUE"""),107632)</f>
        <v>107632</v>
      </c>
      <c r="AM63" s="70" t="n">
        <f aca="false">IFERROR(__xludf.dummyfunction("""COMPUTED_VALUE"""),70069)</f>
        <v>70069</v>
      </c>
      <c r="AN63" s="70" t="n">
        <f aca="false">IFERROR(__xludf.dummyfunction("""COMPUTED_VALUE"""),13949)</f>
        <v>13949</v>
      </c>
      <c r="AO63" s="70" t="n">
        <f aca="false">IFERROR(__xludf.dummyfunction("""COMPUTED_VALUE"""),150152)</f>
        <v>150152</v>
      </c>
      <c r="AP63" s="70" t="n">
        <f aca="false">IFERROR(__xludf.dummyfunction("""COMPUTED_VALUE"""),17368)</f>
        <v>17368</v>
      </c>
      <c r="AQ63" s="70" t="n">
        <f aca="false">IFERROR(__xludf.dummyfunction("""COMPUTED_VALUE"""),29038)</f>
        <v>29038</v>
      </c>
      <c r="AR63" s="70" t="n">
        <f aca="false">IFERROR(__xludf.dummyfunction("""COMPUTED_VALUE"""),6696)</f>
        <v>6696</v>
      </c>
      <c r="AS63" s="70" t="n">
        <f aca="false">IFERROR(__xludf.dummyfunction("""COMPUTED_VALUE"""),128717)</f>
        <v>128717</v>
      </c>
      <c r="AT63" s="70" t="n">
        <f aca="false">IFERROR(__xludf.dummyfunction("""COMPUTED_VALUE"""),320504)</f>
        <v>320504</v>
      </c>
      <c r="AU63" s="70" t="n">
        <f aca="false">IFERROR(__xludf.dummyfunction("""COMPUTED_VALUE"""),9019)</f>
        <v>9019</v>
      </c>
      <c r="AV63" s="70" t="n">
        <f aca="false">IFERROR(__xludf.dummyfunction("""COMPUTED_VALUE"""),6113)</f>
        <v>6113</v>
      </c>
      <c r="AW63" s="70" t="n">
        <f aca="false">IFERROR(__xludf.dummyfunction("""COMPUTED_VALUE"""),78430)</f>
        <v>78430</v>
      </c>
      <c r="AX63" s="70" t="n">
        <f aca="false">IFERROR(__xludf.dummyfunction("""COMPUTED_VALUE"""),44937)</f>
        <v>44937</v>
      </c>
      <c r="AY63" s="70" t="n">
        <f aca="false">IFERROR(__xludf.dummyfunction("""COMPUTED_VALUE"""),36798)</f>
        <v>36798</v>
      </c>
      <c r="AZ63" s="70" t="n">
        <f aca="false">IFERROR(__xludf.dummyfunction("""COMPUTED_VALUE"""),24884)</f>
        <v>24884</v>
      </c>
      <c r="BA63" s="70" t="n">
        <f aca="false">IFERROR(__xludf.dummyfunction("""COMPUTED_VALUE"""),5103)</f>
        <v>5103</v>
      </c>
    </row>
    <row r="64" customFormat="false" ht="15.75" hidden="false" customHeight="false" outlineLevel="0" collapsed="false">
      <c r="A64" s="78" t="str">
        <f aca="false">IFERROR(__xludf.dummyfunction("""COMPUTED_VALUE"""),"fireplaces")</f>
        <v>fireplaces</v>
      </c>
      <c r="B64" s="72" t="n">
        <f aca="false">IFERROR(__xludf.dummyfunction("""COMPUTED_VALUE"""),300699)</f>
        <v>300699</v>
      </c>
      <c r="C64" s="73" t="n">
        <f aca="false">IFERROR(__xludf.dummyfunction("""COMPUTED_VALUE"""),3784)</f>
        <v>3784</v>
      </c>
      <c r="D64" s="70" t="n">
        <f aca="false">IFERROR(__xludf.dummyfunction("""COMPUTED_VALUE"""),1053)</f>
        <v>1053</v>
      </c>
      <c r="E64" s="70" t="n">
        <f aca="false">IFERROR(__xludf.dummyfunction("""COMPUTED_VALUE"""),1968)</f>
        <v>1968</v>
      </c>
      <c r="F64" s="70" t="n">
        <f aca="false">IFERROR(__xludf.dummyfunction("""COMPUTED_VALUE"""),2504)</f>
        <v>2504</v>
      </c>
      <c r="G64" s="70" t="n">
        <f aca="false">IFERROR(__xludf.dummyfunction("""COMPUTED_VALUE"""),31881)</f>
        <v>31881</v>
      </c>
      <c r="H64" s="70" t="n">
        <f aca="false">IFERROR(__xludf.dummyfunction("""COMPUTED_VALUE"""),7710)</f>
        <v>7710</v>
      </c>
      <c r="I64" s="70" t="n">
        <f aca="false">IFERROR(__xludf.dummyfunction("""COMPUTED_VALUE"""),2153)</f>
        <v>2153</v>
      </c>
      <c r="J64" s="70" t="n">
        <f aca="false">IFERROR(__xludf.dummyfunction("""COMPUTED_VALUE"""),82)</f>
        <v>82</v>
      </c>
      <c r="K64" s="70" t="n">
        <f aca="false">IFERROR(__xludf.dummyfunction("""COMPUTED_VALUE"""),224)</f>
        <v>224</v>
      </c>
      <c r="L64" s="70" t="n">
        <f aca="false">IFERROR(__xludf.dummyfunction("""COMPUTED_VALUE"""),10428)</f>
        <v>10428</v>
      </c>
      <c r="M64" s="70" t="n">
        <f aca="false">IFERROR(__xludf.dummyfunction("""COMPUTED_VALUE"""),16060)</f>
        <v>16060</v>
      </c>
      <c r="N64" s="70" t="n">
        <f aca="false">IFERROR(__xludf.dummyfunction("""COMPUTED_VALUE"""),11)</f>
        <v>11</v>
      </c>
      <c r="O64" s="70" t="n">
        <f aca="false">IFERROR(__xludf.dummyfunction("""COMPUTED_VALUE"""),4623)</f>
        <v>4623</v>
      </c>
      <c r="P64" s="70" t="n">
        <f aca="false">IFERROR(__xludf.dummyfunction("""COMPUTED_VALUE"""),5035)</f>
        <v>5035</v>
      </c>
      <c r="Q64" s="70" t="n">
        <f aca="false">IFERROR(__xludf.dummyfunction("""COMPUTED_VALUE"""),449)</f>
        <v>449</v>
      </c>
      <c r="R64" s="70" t="n">
        <f aca="false">IFERROR(__xludf.dummyfunction("""COMPUTED_VALUE"""),699)</f>
        <v>699</v>
      </c>
      <c r="S64" s="70" t="n">
        <f aca="false">IFERROR(__xludf.dummyfunction("""COMPUTED_VALUE"""),3477)</f>
        <v>3477</v>
      </c>
      <c r="T64" s="70" t="n">
        <f aca="false">IFERROR(__xludf.dummyfunction("""COMPUTED_VALUE"""),6046)</f>
        <v>6046</v>
      </c>
      <c r="U64" s="70" t="n">
        <f aca="false">IFERROR(__xludf.dummyfunction("""COMPUTED_VALUE"""),61)</f>
        <v>61</v>
      </c>
      <c r="V64" s="70" t="n">
        <f aca="false">IFERROR(__xludf.dummyfunction("""COMPUTED_VALUE"""),608)</f>
        <v>608</v>
      </c>
      <c r="W64" s="70" t="n">
        <f aca="false">IFERROR(__xludf.dummyfunction("""COMPUTED_VALUE"""),3601)</f>
        <v>3601</v>
      </c>
      <c r="X64" s="70" t="n">
        <f aca="false">IFERROR(__xludf.dummyfunction("""COMPUTED_VALUE"""),5969)</f>
        <v>5969</v>
      </c>
      <c r="Y64" s="70" t="n">
        <f aca="false">IFERROR(__xludf.dummyfunction("""COMPUTED_VALUE"""),6754)</f>
        <v>6754</v>
      </c>
      <c r="Z64" s="70" t="n">
        <f aca="false">IFERROR(__xludf.dummyfunction("""COMPUTED_VALUE"""),4037)</f>
        <v>4037</v>
      </c>
      <c r="AA64" s="70" t="n">
        <f aca="false">IFERROR(__xludf.dummyfunction("""COMPUTED_VALUE"""),1121)</f>
        <v>1121</v>
      </c>
      <c r="AB64" s="70" t="n">
        <f aca="false">IFERROR(__xludf.dummyfunction("""COMPUTED_VALUE"""),3399)</f>
        <v>3399</v>
      </c>
      <c r="AC64" s="70" t="n">
        <f aca="false">IFERROR(__xludf.dummyfunction("""COMPUTED_VALUE"""),18)</f>
        <v>18</v>
      </c>
      <c r="AD64" s="70" t="n">
        <f aca="false">IFERROR(__xludf.dummyfunction("""COMPUTED_VALUE"""),1872)</f>
        <v>1872</v>
      </c>
      <c r="AE64" s="70" t="n">
        <f aca="false">IFERROR(__xludf.dummyfunction("""COMPUTED_VALUE"""),517)</f>
        <v>517</v>
      </c>
      <c r="AF64" s="70" t="n">
        <f aca="false">IFERROR(__xludf.dummyfunction("""COMPUTED_VALUE"""),831)</f>
        <v>831</v>
      </c>
      <c r="AG64" s="70" t="n">
        <f aca="false">IFERROR(__xludf.dummyfunction("""COMPUTED_VALUE"""),782)</f>
        <v>782</v>
      </c>
      <c r="AH64" s="70" t="n">
        <f aca="false">IFERROR(__xludf.dummyfunction("""COMPUTED_VALUE"""),4)</f>
        <v>4</v>
      </c>
      <c r="AI64" s="70" t="n">
        <f aca="false">IFERROR(__xludf.dummyfunction("""COMPUTED_VALUE"""),9866)</f>
        <v>9866</v>
      </c>
      <c r="AJ64" s="70" t="n">
        <f aca="false">IFERROR(__xludf.dummyfunction("""COMPUTED_VALUE"""),19172)</f>
        <v>19172</v>
      </c>
      <c r="AK64" s="70" t="n">
        <f aca="false">IFERROR(__xludf.dummyfunction("""COMPUTED_VALUE"""),14)</f>
        <v>14</v>
      </c>
      <c r="AL64" s="70" t="n">
        <f aca="false">IFERROR(__xludf.dummyfunction("""COMPUTED_VALUE"""),26527)</f>
        <v>26527</v>
      </c>
      <c r="AM64" s="70" t="n">
        <f aca="false">IFERROR(__xludf.dummyfunction("""COMPUTED_VALUE"""),3133)</f>
        <v>3133</v>
      </c>
      <c r="AN64" s="70" t="n">
        <f aca="false">IFERROR(__xludf.dummyfunction("""COMPUTED_VALUE"""),13686)</f>
        <v>13686</v>
      </c>
      <c r="AO64" s="70" t="n">
        <f aca="false">IFERROR(__xludf.dummyfunction("""COMPUTED_VALUE"""),17715)</f>
        <v>17715</v>
      </c>
      <c r="AP64" s="70" t="n">
        <f aca="false">IFERROR(__xludf.dummyfunction("""COMPUTED_VALUE"""),816)</f>
        <v>816</v>
      </c>
      <c r="AQ64" s="70" t="n">
        <f aca="false">IFERROR(__xludf.dummyfunction("""COMPUTED_VALUE"""),4237)</f>
        <v>4237</v>
      </c>
      <c r="AR64" s="70" t="n">
        <f aca="false">IFERROR(__xludf.dummyfunction("""COMPUTED_VALUE"""),239)</f>
        <v>239</v>
      </c>
      <c r="AS64" s="70" t="n">
        <f aca="false">IFERROR(__xludf.dummyfunction("""COMPUTED_VALUE"""),10169)</f>
        <v>10169</v>
      </c>
      <c r="AT64" s="70" t="n">
        <f aca="false">IFERROR(__xludf.dummyfunction("""COMPUTED_VALUE"""),34837)</f>
        <v>34837</v>
      </c>
      <c r="AU64" s="70" t="n">
        <f aca="false">IFERROR(__xludf.dummyfunction("""COMPUTED_VALUE"""),1544)</f>
        <v>1544</v>
      </c>
      <c r="AV64" s="70" t="n">
        <f aca="false">IFERROR(__xludf.dummyfunction("""COMPUTED_VALUE"""),541)</f>
        <v>541</v>
      </c>
      <c r="AW64" s="70" t="n">
        <f aca="false">IFERROR(__xludf.dummyfunction("""COMPUTED_VALUE"""),12209)</f>
        <v>12209</v>
      </c>
      <c r="AX64" s="70" t="n">
        <f aca="false">IFERROR(__xludf.dummyfunction("""COMPUTED_VALUE"""),8058)</f>
        <v>8058</v>
      </c>
      <c r="AY64" s="70" t="n">
        <f aca="false">IFERROR(__xludf.dummyfunction("""COMPUTED_VALUE"""),8919)</f>
        <v>8919</v>
      </c>
      <c r="AZ64" s="70" t="n">
        <f aca="false">IFERROR(__xludf.dummyfunction("""COMPUTED_VALUE"""),923)</f>
        <v>923</v>
      </c>
      <c r="BA64" s="70" t="n">
        <f aca="false">IFERROR(__xludf.dummyfunction("""COMPUTED_VALUE"""),333)</f>
        <v>333</v>
      </c>
    </row>
    <row r="65" customFormat="false" ht="15.75" hidden="false" customHeight="false" outlineLevel="0" collapsed="false">
      <c r="A65" s="78" t="str">
        <f aca="false">IFERROR(__xludf.dummyfunction("""COMPUTED_VALUE"""),"flooring_types")</f>
        <v>flooring_types</v>
      </c>
      <c r="B65" s="72" t="n">
        <f aca="false">IFERROR(__xludf.dummyfunction("""COMPUTED_VALUE"""),489688)</f>
        <v>489688</v>
      </c>
      <c r="C65" s="73" t="n">
        <f aca="false">IFERROR(__xludf.dummyfunction("""COMPUTED_VALUE"""),57863)</f>
        <v>57863</v>
      </c>
      <c r="D65" s="70" t="n">
        <f aca="false">IFERROR(__xludf.dummyfunction("""COMPUTED_VALUE"""),13)</f>
        <v>13</v>
      </c>
      <c r="E65" s="70" t="n">
        <f aca="false">IFERROR(__xludf.dummyfunction("""COMPUTED_VALUE"""),5411)</f>
        <v>5411</v>
      </c>
      <c r="F65" s="70" t="n">
        <f aca="false">IFERROR(__xludf.dummyfunction("""COMPUTED_VALUE"""),27919)</f>
        <v>27919</v>
      </c>
      <c r="G65" s="70" t="n">
        <f aca="false">IFERROR(__xludf.dummyfunction("""COMPUTED_VALUE"""),684)</f>
        <v>684</v>
      </c>
      <c r="H65" s="70" t="n">
        <f aca="false">IFERROR(__xludf.dummyfunction("""COMPUTED_VALUE"""),7776)</f>
        <v>7776</v>
      </c>
      <c r="I65" s="70" t="n">
        <f aca="false">IFERROR(__xludf.dummyfunction("""COMPUTED_VALUE"""),0)</f>
        <v>0</v>
      </c>
      <c r="J65" s="70" t="n">
        <f aca="false">IFERROR(__xludf.dummyfunction("""COMPUTED_VALUE"""),0)</f>
        <v>0</v>
      </c>
      <c r="K65" s="70" t="n">
        <f aca="false">IFERROR(__xludf.dummyfunction("""COMPUTED_VALUE"""),1)</f>
        <v>1</v>
      </c>
      <c r="L65" s="70" t="n">
        <f aca="false">IFERROR(__xludf.dummyfunction("""COMPUTED_VALUE"""),98386)</f>
        <v>98386</v>
      </c>
      <c r="M65" s="70" t="n">
        <f aca="false">IFERROR(__xludf.dummyfunction("""COMPUTED_VALUE"""),31592)</f>
        <v>31592</v>
      </c>
      <c r="N65" s="70" t="n">
        <f aca="false">IFERROR(__xludf.dummyfunction("""COMPUTED_VALUE"""),274)</f>
        <v>274</v>
      </c>
      <c r="O65" s="70" t="n">
        <f aca="false">IFERROR(__xludf.dummyfunction("""COMPUTED_VALUE"""),146)</f>
        <v>146</v>
      </c>
      <c r="P65" s="70" t="n">
        <f aca="false">IFERROR(__xludf.dummyfunction("""COMPUTED_VALUE"""),123)</f>
        <v>123</v>
      </c>
      <c r="Q65" s="70" t="n">
        <f aca="false">IFERROR(__xludf.dummyfunction("""COMPUTED_VALUE"""),43)</f>
        <v>43</v>
      </c>
      <c r="R65" s="70" t="n">
        <f aca="false">IFERROR(__xludf.dummyfunction("""COMPUTED_VALUE"""),2540)</f>
        <v>2540</v>
      </c>
      <c r="S65" s="70" t="n">
        <f aca="false">IFERROR(__xludf.dummyfunction("""COMPUTED_VALUE"""),11)</f>
        <v>11</v>
      </c>
      <c r="T65" s="70" t="n">
        <f aca="false">IFERROR(__xludf.dummyfunction("""COMPUTED_VALUE"""),0)</f>
        <v>0</v>
      </c>
      <c r="U65" s="70" t="n">
        <f aca="false">IFERROR(__xludf.dummyfunction("""COMPUTED_VALUE"""),8)</f>
        <v>8</v>
      </c>
      <c r="V65" s="70" t="n">
        <f aca="false">IFERROR(__xludf.dummyfunction("""COMPUTED_VALUE"""),0)</f>
        <v>0</v>
      </c>
      <c r="W65" s="70" t="n">
        <f aca="false">IFERROR(__xludf.dummyfunction("""COMPUTED_VALUE"""),352)</f>
        <v>352</v>
      </c>
      <c r="X65" s="70" t="n">
        <f aca="false">IFERROR(__xludf.dummyfunction("""COMPUTED_VALUE"""),0)</f>
        <v>0</v>
      </c>
      <c r="Y65" s="70" t="n">
        <f aca="false">IFERROR(__xludf.dummyfunction("""COMPUTED_VALUE"""),3)</f>
        <v>3</v>
      </c>
      <c r="Z65" s="70" t="n">
        <f aca="false">IFERROR(__xludf.dummyfunction("""COMPUTED_VALUE"""),4498)</f>
        <v>4498</v>
      </c>
      <c r="AA65" s="70" t="n">
        <f aca="false">IFERROR(__xludf.dummyfunction("""COMPUTED_VALUE"""),27531)</f>
        <v>27531</v>
      </c>
      <c r="AB65" s="70" t="n">
        <f aca="false">IFERROR(__xludf.dummyfunction("""COMPUTED_VALUE"""),7143)</f>
        <v>7143</v>
      </c>
      <c r="AC65" s="70" t="n">
        <f aca="false">IFERROR(__xludf.dummyfunction("""COMPUTED_VALUE"""),0)</f>
        <v>0</v>
      </c>
      <c r="AD65" s="70" t="n">
        <f aca="false">IFERROR(__xludf.dummyfunction("""COMPUTED_VALUE"""),2493)</f>
        <v>2493</v>
      </c>
      <c r="AE65" s="70" t="n">
        <f aca="false">IFERROR(__xludf.dummyfunction("""COMPUTED_VALUE"""),547)</f>
        <v>547</v>
      </c>
      <c r="AF65" s="70" t="n">
        <f aca="false">IFERROR(__xludf.dummyfunction("""COMPUTED_VALUE"""),0)</f>
        <v>0</v>
      </c>
      <c r="AG65" s="70" t="n">
        <f aca="false">IFERROR(__xludf.dummyfunction("""COMPUTED_VALUE"""),0)</f>
        <v>0</v>
      </c>
      <c r="AH65" s="70" t="n">
        <f aca="false">IFERROR(__xludf.dummyfunction("""COMPUTED_VALUE"""),84)</f>
        <v>84</v>
      </c>
      <c r="AI65" s="70" t="n">
        <f aca="false">IFERROR(__xludf.dummyfunction("""COMPUTED_VALUE"""),0)</f>
        <v>0</v>
      </c>
      <c r="AJ65" s="70" t="n">
        <f aca="false">IFERROR(__xludf.dummyfunction("""COMPUTED_VALUE"""),58798)</f>
        <v>58798</v>
      </c>
      <c r="AK65" s="70" t="n">
        <f aca="false">IFERROR(__xludf.dummyfunction("""COMPUTED_VALUE"""),1)</f>
        <v>1</v>
      </c>
      <c r="AL65" s="70" t="n">
        <f aca="false">IFERROR(__xludf.dummyfunction("""COMPUTED_VALUE"""),8040)</f>
        <v>8040</v>
      </c>
      <c r="AM65" s="70" t="n">
        <f aca="false">IFERROR(__xludf.dummyfunction("""COMPUTED_VALUE"""),887)</f>
        <v>887</v>
      </c>
      <c r="AN65" s="70" t="n">
        <f aca="false">IFERROR(__xludf.dummyfunction("""COMPUTED_VALUE"""),3213)</f>
        <v>3213</v>
      </c>
      <c r="AO65" s="70" t="n">
        <f aca="false">IFERROR(__xludf.dummyfunction("""COMPUTED_VALUE"""),2992)</f>
        <v>2992</v>
      </c>
      <c r="AP65" s="70" t="n">
        <f aca="false">IFERROR(__xludf.dummyfunction("""COMPUTED_VALUE"""),0)</f>
        <v>0</v>
      </c>
      <c r="AQ65" s="70" t="n">
        <f aca="false">IFERROR(__xludf.dummyfunction("""COMPUTED_VALUE"""),10647)</f>
        <v>10647</v>
      </c>
      <c r="AR65" s="70" t="n">
        <f aca="false">IFERROR(__xludf.dummyfunction("""COMPUTED_VALUE"""),1965)</f>
        <v>1965</v>
      </c>
      <c r="AS65" s="70" t="n">
        <f aca="false">IFERROR(__xludf.dummyfunction("""COMPUTED_VALUE"""),68135)</f>
        <v>68135</v>
      </c>
      <c r="AT65" s="70" t="n">
        <f aca="false">IFERROR(__xludf.dummyfunction("""COMPUTED_VALUE"""),38245)</f>
        <v>38245</v>
      </c>
      <c r="AU65" s="70" t="n">
        <f aca="false">IFERROR(__xludf.dummyfunction("""COMPUTED_VALUE"""),23)</f>
        <v>23</v>
      </c>
      <c r="AV65" s="70" t="n">
        <f aca="false">IFERROR(__xludf.dummyfunction("""COMPUTED_VALUE"""),0)</f>
        <v>0</v>
      </c>
      <c r="AW65" s="70" t="n">
        <f aca="false">IFERROR(__xludf.dummyfunction("""COMPUTED_VALUE"""),13990)</f>
        <v>13990</v>
      </c>
      <c r="AX65" s="70" t="n">
        <f aca="false">IFERROR(__xludf.dummyfunction("""COMPUTED_VALUE"""),6454)</f>
        <v>6454</v>
      </c>
      <c r="AY65" s="70" t="n">
        <f aca="false">IFERROR(__xludf.dummyfunction("""COMPUTED_VALUE"""),0)</f>
        <v>0</v>
      </c>
      <c r="AZ65" s="70" t="n">
        <f aca="false">IFERROR(__xludf.dummyfunction("""COMPUTED_VALUE"""),706)</f>
        <v>706</v>
      </c>
      <c r="BA65" s="70" t="n">
        <f aca="false">IFERROR(__xludf.dummyfunction("""COMPUTED_VALUE"""),151)</f>
        <v>151</v>
      </c>
    </row>
    <row r="66" customFormat="false" ht="15.75" hidden="false" customHeight="false" outlineLevel="0" collapsed="false">
      <c r="A66" s="78" t="str">
        <f aca="false">IFERROR(__xludf.dummyfunction("""COMPUTED_VALUE"""),"foundation_type")</f>
        <v>foundation_type</v>
      </c>
      <c r="B66" s="72" t="n">
        <f aca="false">IFERROR(__xludf.dummyfunction("""COMPUTED_VALUE"""),1365327)</f>
        <v>1365327</v>
      </c>
      <c r="C66" s="73" t="n">
        <f aca="false">IFERROR(__xludf.dummyfunction("""COMPUTED_VALUE"""),95528)</f>
        <v>95528</v>
      </c>
      <c r="D66" s="70" t="n">
        <f aca="false">IFERROR(__xludf.dummyfunction("""COMPUTED_VALUE"""),466)</f>
        <v>466</v>
      </c>
      <c r="E66" s="70" t="n">
        <f aca="false">IFERROR(__xludf.dummyfunction("""COMPUTED_VALUE"""),19474)</f>
        <v>19474</v>
      </c>
      <c r="F66" s="70" t="n">
        <f aca="false">IFERROR(__xludf.dummyfunction("""COMPUTED_VALUE"""),78420)</f>
        <v>78420</v>
      </c>
      <c r="G66" s="70" t="n">
        <f aca="false">IFERROR(__xludf.dummyfunction("""COMPUTED_VALUE"""),83914)</f>
        <v>83914</v>
      </c>
      <c r="H66" s="70" t="n">
        <f aca="false">IFERROR(__xludf.dummyfunction("""COMPUTED_VALUE"""),10618)</f>
        <v>10618</v>
      </c>
      <c r="I66" s="70" t="n">
        <f aca="false">IFERROR(__xludf.dummyfunction("""COMPUTED_VALUE"""),0)</f>
        <v>0</v>
      </c>
      <c r="J66" s="70" t="n">
        <f aca="false">IFERROR(__xludf.dummyfunction("""COMPUTED_VALUE"""),125)</f>
        <v>125</v>
      </c>
      <c r="K66" s="70" t="n">
        <f aca="false">IFERROR(__xludf.dummyfunction("""COMPUTED_VALUE"""),0)</f>
        <v>0</v>
      </c>
      <c r="L66" s="70" t="n">
        <f aca="false">IFERROR(__xludf.dummyfunction("""COMPUTED_VALUE"""),89225)</f>
        <v>89225</v>
      </c>
      <c r="M66" s="70" t="n">
        <f aca="false">IFERROR(__xludf.dummyfunction("""COMPUTED_VALUE"""),45032)</f>
        <v>45032</v>
      </c>
      <c r="N66" s="70" t="n">
        <f aca="false">IFERROR(__xludf.dummyfunction("""COMPUTED_VALUE"""),1074)</f>
        <v>1074</v>
      </c>
      <c r="O66" s="70" t="n">
        <f aca="false">IFERROR(__xludf.dummyfunction("""COMPUTED_VALUE"""),1657)</f>
        <v>1657</v>
      </c>
      <c r="P66" s="70" t="n">
        <f aca="false">IFERROR(__xludf.dummyfunction("""COMPUTED_VALUE"""),3476)</f>
        <v>3476</v>
      </c>
      <c r="Q66" s="70" t="n">
        <f aca="false">IFERROR(__xludf.dummyfunction("""COMPUTED_VALUE"""),33)</f>
        <v>33</v>
      </c>
      <c r="R66" s="70" t="n">
        <f aca="false">IFERROR(__xludf.dummyfunction("""COMPUTED_VALUE"""),14955)</f>
        <v>14955</v>
      </c>
      <c r="S66" s="70" t="n">
        <f aca="false">IFERROR(__xludf.dummyfunction("""COMPUTED_VALUE"""),6380)</f>
        <v>6380</v>
      </c>
      <c r="T66" s="70" t="n">
        <f aca="false">IFERROR(__xludf.dummyfunction("""COMPUTED_VALUE"""),40191)</f>
        <v>40191</v>
      </c>
      <c r="U66" s="70" t="n">
        <f aca="false">IFERROR(__xludf.dummyfunction("""COMPUTED_VALUE"""),387)</f>
        <v>387</v>
      </c>
      <c r="V66" s="70" t="n">
        <f aca="false">IFERROR(__xludf.dummyfunction("""COMPUTED_VALUE"""),0)</f>
        <v>0</v>
      </c>
      <c r="W66" s="70" t="n">
        <f aca="false">IFERROR(__xludf.dummyfunction("""COMPUTED_VALUE"""),12678)</f>
        <v>12678</v>
      </c>
      <c r="X66" s="70" t="n">
        <f aca="false">IFERROR(__xludf.dummyfunction("""COMPUTED_VALUE"""),0)</f>
        <v>0</v>
      </c>
      <c r="Y66" s="70" t="n">
        <f aca="false">IFERROR(__xludf.dummyfunction("""COMPUTED_VALUE"""),51301)</f>
        <v>51301</v>
      </c>
      <c r="Z66" s="70" t="n">
        <f aca="false">IFERROR(__xludf.dummyfunction("""COMPUTED_VALUE"""),16418)</f>
        <v>16418</v>
      </c>
      <c r="AA66" s="70" t="n">
        <f aca="false">IFERROR(__xludf.dummyfunction("""COMPUTED_VALUE"""),51098)</f>
        <v>51098</v>
      </c>
      <c r="AB66" s="70" t="n">
        <f aca="false">IFERROR(__xludf.dummyfunction("""COMPUTED_VALUE"""),17986)</f>
        <v>17986</v>
      </c>
      <c r="AC66" s="70" t="n">
        <f aca="false">IFERROR(__xludf.dummyfunction("""COMPUTED_VALUE"""),759)</f>
        <v>759</v>
      </c>
      <c r="AD66" s="70" t="n">
        <f aca="false">IFERROR(__xludf.dummyfunction("""COMPUTED_VALUE"""),4043)</f>
        <v>4043</v>
      </c>
      <c r="AE66" s="70" t="n">
        <f aca="false">IFERROR(__xludf.dummyfunction("""COMPUTED_VALUE"""),3201)</f>
        <v>3201</v>
      </c>
      <c r="AF66" s="70" t="n">
        <f aca="false">IFERROR(__xludf.dummyfunction("""COMPUTED_VALUE"""),0)</f>
        <v>0</v>
      </c>
      <c r="AG66" s="70" t="n">
        <f aca="false">IFERROR(__xludf.dummyfunction("""COMPUTED_VALUE"""),4750)</f>
        <v>4750</v>
      </c>
      <c r="AH66" s="70" t="n">
        <f aca="false">IFERROR(__xludf.dummyfunction("""COMPUTED_VALUE"""),1)</f>
        <v>1</v>
      </c>
      <c r="AI66" s="70" t="n">
        <f aca="false">IFERROR(__xludf.dummyfunction("""COMPUTED_VALUE"""),0)</f>
        <v>0</v>
      </c>
      <c r="AJ66" s="70" t="n">
        <f aca="false">IFERROR(__xludf.dummyfunction("""COMPUTED_VALUE"""),121085)</f>
        <v>121085</v>
      </c>
      <c r="AK66" s="70" t="n">
        <f aca="false">IFERROR(__xludf.dummyfunction("""COMPUTED_VALUE"""),158)</f>
        <v>158</v>
      </c>
      <c r="AL66" s="70" t="n">
        <f aca="false">IFERROR(__xludf.dummyfunction("""COMPUTED_VALUE"""),39184)</f>
        <v>39184</v>
      </c>
      <c r="AM66" s="70" t="n">
        <f aca="false">IFERROR(__xludf.dummyfunction("""COMPUTED_VALUE"""),58933)</f>
        <v>58933</v>
      </c>
      <c r="AN66" s="70" t="n">
        <f aca="false">IFERROR(__xludf.dummyfunction("""COMPUTED_VALUE"""),18211)</f>
        <v>18211</v>
      </c>
      <c r="AO66" s="70" t="n">
        <f aca="false">IFERROR(__xludf.dummyfunction("""COMPUTED_VALUE"""),10077)</f>
        <v>10077</v>
      </c>
      <c r="AP66" s="70" t="n">
        <f aca="false">IFERROR(__xludf.dummyfunction("""COMPUTED_VALUE"""),0)</f>
        <v>0</v>
      </c>
      <c r="AQ66" s="70" t="n">
        <f aca="false">IFERROR(__xludf.dummyfunction("""COMPUTED_VALUE"""),21013)</f>
        <v>21013</v>
      </c>
      <c r="AR66" s="70" t="n">
        <f aca="false">IFERROR(__xludf.dummyfunction("""COMPUTED_VALUE"""),5029)</f>
        <v>5029</v>
      </c>
      <c r="AS66" s="70" t="n">
        <f aca="false">IFERROR(__xludf.dummyfunction("""COMPUTED_VALUE"""),100099)</f>
        <v>100099</v>
      </c>
      <c r="AT66" s="70" t="n">
        <f aca="false">IFERROR(__xludf.dummyfunction("""COMPUTED_VALUE"""),262070)</f>
        <v>262070</v>
      </c>
      <c r="AU66" s="70" t="n">
        <f aca="false">IFERROR(__xludf.dummyfunction("""COMPUTED_VALUE"""),3471)</f>
        <v>3471</v>
      </c>
      <c r="AV66" s="70" t="n">
        <f aca="false">IFERROR(__xludf.dummyfunction("""COMPUTED_VALUE"""),0)</f>
        <v>0</v>
      </c>
      <c r="AW66" s="70" t="n">
        <f aca="false">IFERROR(__xludf.dummyfunction("""COMPUTED_VALUE"""),46398)</f>
        <v>46398</v>
      </c>
      <c r="AX66" s="70" t="n">
        <f aca="false">IFERROR(__xludf.dummyfunction("""COMPUTED_VALUE"""),21449)</f>
        <v>21449</v>
      </c>
      <c r="AY66" s="70" t="n">
        <f aca="false">IFERROR(__xludf.dummyfunction("""COMPUTED_VALUE"""),0)</f>
        <v>0</v>
      </c>
      <c r="AZ66" s="70" t="n">
        <f aca="false">IFERROR(__xludf.dummyfunction("""COMPUTED_VALUE"""),4864)</f>
        <v>4864</v>
      </c>
      <c r="BA66" s="70" t="n">
        <f aca="false">IFERROR(__xludf.dummyfunction("""COMPUTED_VALUE"""),96)</f>
        <v>96</v>
      </c>
    </row>
    <row r="67" customFormat="false" ht="15.75" hidden="false" customHeight="false" outlineLevel="0" collapsed="false">
      <c r="A67" s="78" t="str">
        <f aca="false">IFERROR(__xludf.dummyfunction("""COMPUTED_VALUE"""),"heating_type")</f>
        <v>heating_type</v>
      </c>
      <c r="B67" s="72" t="n">
        <f aca="false">IFERROR(__xludf.dummyfunction("""COMPUTED_VALUE"""),2141879)</f>
        <v>2141879</v>
      </c>
      <c r="C67" s="73" t="n">
        <f aca="false">IFERROR(__xludf.dummyfunction("""COMPUTED_VALUE"""),58564)</f>
        <v>58564</v>
      </c>
      <c r="D67" s="70" t="n">
        <f aca="false">IFERROR(__xludf.dummyfunction("""COMPUTED_VALUE"""),566)</f>
        <v>566</v>
      </c>
      <c r="E67" s="70" t="n">
        <f aca="false">IFERROR(__xludf.dummyfunction("""COMPUTED_VALUE"""),76722)</f>
        <v>76722</v>
      </c>
      <c r="F67" s="70" t="n">
        <f aca="false">IFERROR(__xludf.dummyfunction("""COMPUTED_VALUE"""),14686)</f>
        <v>14686</v>
      </c>
      <c r="G67" s="70" t="n">
        <f aca="false">IFERROR(__xludf.dummyfunction("""COMPUTED_VALUE"""),114072)</f>
        <v>114072</v>
      </c>
      <c r="H67" s="70" t="n">
        <f aca="false">IFERROR(__xludf.dummyfunction("""COMPUTED_VALUE"""),80892)</f>
        <v>80892</v>
      </c>
      <c r="I67" s="70" t="n">
        <f aca="false">IFERROR(__xludf.dummyfunction("""COMPUTED_VALUE"""),49289)</f>
        <v>49289</v>
      </c>
      <c r="J67" s="70" t="n">
        <f aca="false">IFERROR(__xludf.dummyfunction("""COMPUTED_VALUE"""),267)</f>
        <v>267</v>
      </c>
      <c r="K67" s="70" t="n">
        <f aca="false">IFERROR(__xludf.dummyfunction("""COMPUTED_VALUE"""),9195)</f>
        <v>9195</v>
      </c>
      <c r="L67" s="70" t="n">
        <f aca="false">IFERROR(__xludf.dummyfunction("""COMPUTED_VALUE"""),157342)</f>
        <v>157342</v>
      </c>
      <c r="M67" s="70" t="n">
        <f aca="false">IFERROR(__xludf.dummyfunction("""COMPUTED_VALUE"""),49758)</f>
        <v>49758</v>
      </c>
      <c r="N67" s="70" t="n">
        <f aca="false">IFERROR(__xludf.dummyfunction("""COMPUTED_VALUE"""),53)</f>
        <v>53</v>
      </c>
      <c r="O67" s="70" t="n">
        <f aca="false">IFERROR(__xludf.dummyfunction("""COMPUTED_VALUE"""),5846)</f>
        <v>5846</v>
      </c>
      <c r="P67" s="70" t="n">
        <f aca="false">IFERROR(__xludf.dummyfunction("""COMPUTED_VALUE"""),9463)</f>
        <v>9463</v>
      </c>
      <c r="Q67" s="70" t="n">
        <f aca="false">IFERROR(__xludf.dummyfunction("""COMPUTED_VALUE"""),1358)</f>
        <v>1358</v>
      </c>
      <c r="R67" s="70" t="n">
        <f aca="false">IFERROR(__xludf.dummyfunction("""COMPUTED_VALUE"""),5095)</f>
        <v>5095</v>
      </c>
      <c r="S67" s="70" t="n">
        <f aca="false">IFERROR(__xludf.dummyfunction("""COMPUTED_VALUE"""),28143)</f>
        <v>28143</v>
      </c>
      <c r="T67" s="70" t="n">
        <f aca="false">IFERROR(__xludf.dummyfunction("""COMPUTED_VALUE"""),24583)</f>
        <v>24583</v>
      </c>
      <c r="U67" s="70" t="n">
        <f aca="false">IFERROR(__xludf.dummyfunction("""COMPUTED_VALUE"""),182)</f>
        <v>182</v>
      </c>
      <c r="V67" s="70" t="n">
        <f aca="false">IFERROR(__xludf.dummyfunction("""COMPUTED_VALUE"""),10597)</f>
        <v>10597</v>
      </c>
      <c r="W67" s="70" t="n">
        <f aca="false">IFERROR(__xludf.dummyfunction("""COMPUTED_VALUE"""),57000)</f>
        <v>57000</v>
      </c>
      <c r="X67" s="70" t="n">
        <f aca="false">IFERROR(__xludf.dummyfunction("""COMPUTED_VALUE"""),88456)</f>
        <v>88456</v>
      </c>
      <c r="Y67" s="70" t="n">
        <f aca="false">IFERROR(__xludf.dummyfunction("""COMPUTED_VALUE"""),55034)</f>
        <v>55034</v>
      </c>
      <c r="Z67" s="70" t="n">
        <f aca="false">IFERROR(__xludf.dummyfunction("""COMPUTED_VALUE"""),44043)</f>
        <v>44043</v>
      </c>
      <c r="AA67" s="70" t="n">
        <f aca="false">IFERROR(__xludf.dummyfunction("""COMPUTED_VALUE"""),26840)</f>
        <v>26840</v>
      </c>
      <c r="AB67" s="70" t="n">
        <f aca="false">IFERROR(__xludf.dummyfunction("""COMPUTED_VALUE"""),16678)</f>
        <v>16678</v>
      </c>
      <c r="AC67" s="70" t="n">
        <f aca="false">IFERROR(__xludf.dummyfunction("""COMPUTED_VALUE"""),10591)</f>
        <v>10591</v>
      </c>
      <c r="AD67" s="70" t="n">
        <f aca="false">IFERROR(__xludf.dummyfunction("""COMPUTED_VALUE"""),30106)</f>
        <v>30106</v>
      </c>
      <c r="AE67" s="70" t="n">
        <f aca="false">IFERROR(__xludf.dummyfunction("""COMPUTED_VALUE"""),7130)</f>
        <v>7130</v>
      </c>
      <c r="AF67" s="70" t="n">
        <f aca="false">IFERROR(__xludf.dummyfunction("""COMPUTED_VALUE"""),24092)</f>
        <v>24092</v>
      </c>
      <c r="AG67" s="70" t="n">
        <f aca="false">IFERROR(__xludf.dummyfunction("""COMPUTED_VALUE"""),2603)</f>
        <v>2603</v>
      </c>
      <c r="AH67" s="70" t="n">
        <f aca="false">IFERROR(__xludf.dummyfunction("""COMPUTED_VALUE"""),1301)</f>
        <v>1301</v>
      </c>
      <c r="AI67" s="70" t="n">
        <f aca="false">IFERROR(__xludf.dummyfunction("""COMPUTED_VALUE"""),32197)</f>
        <v>32197</v>
      </c>
      <c r="AJ67" s="70" t="n">
        <f aca="false">IFERROR(__xludf.dummyfunction("""COMPUTED_VALUE"""),132124)</f>
        <v>132124</v>
      </c>
      <c r="AK67" s="70" t="n">
        <f aca="false">IFERROR(__xludf.dummyfunction("""COMPUTED_VALUE"""),32)</f>
        <v>32</v>
      </c>
      <c r="AL67" s="70" t="n">
        <f aca="false">IFERROR(__xludf.dummyfunction("""COMPUTED_VALUE"""),112815)</f>
        <v>112815</v>
      </c>
      <c r="AM67" s="70" t="n">
        <f aca="false">IFERROR(__xludf.dummyfunction("""COMPUTED_VALUE"""),81135)</f>
        <v>81135</v>
      </c>
      <c r="AN67" s="70" t="n">
        <f aca="false">IFERROR(__xludf.dummyfunction("""COMPUTED_VALUE"""),16913)</f>
        <v>16913</v>
      </c>
      <c r="AO67" s="70" t="n">
        <f aca="false">IFERROR(__xludf.dummyfunction("""COMPUTED_VALUE"""),99995)</f>
        <v>99995</v>
      </c>
      <c r="AP67" s="70" t="n">
        <f aca="false">IFERROR(__xludf.dummyfunction("""COMPUTED_VALUE"""),21019)</f>
        <v>21019</v>
      </c>
      <c r="AQ67" s="70" t="n">
        <f aca="false">IFERROR(__xludf.dummyfunction("""COMPUTED_VALUE"""),37625)</f>
        <v>37625</v>
      </c>
      <c r="AR67" s="70" t="n">
        <f aca="false">IFERROR(__xludf.dummyfunction("""COMPUTED_VALUE"""),6689)</f>
        <v>6689</v>
      </c>
      <c r="AS67" s="70" t="n">
        <f aca="false">IFERROR(__xludf.dummyfunction("""COMPUTED_VALUE"""),76495)</f>
        <v>76495</v>
      </c>
      <c r="AT67" s="70" t="n">
        <f aca="false">IFERROR(__xludf.dummyfunction("""COMPUTED_VALUE"""),244387)</f>
        <v>244387</v>
      </c>
      <c r="AU67" s="70" t="n">
        <f aca="false">IFERROR(__xludf.dummyfunction("""COMPUTED_VALUE"""),19794)</f>
        <v>19794</v>
      </c>
      <c r="AV67" s="70" t="n">
        <f aca="false">IFERROR(__xludf.dummyfunction("""COMPUTED_VALUE"""),6458)</f>
        <v>6458</v>
      </c>
      <c r="AW67" s="70" t="n">
        <f aca="false">IFERROR(__xludf.dummyfunction("""COMPUTED_VALUE"""),69879)</f>
        <v>69879</v>
      </c>
      <c r="AX67" s="70" t="n">
        <f aca="false">IFERROR(__xludf.dummyfunction("""COMPUTED_VALUE"""),65339)</f>
        <v>65339</v>
      </c>
      <c r="AY67" s="70" t="n">
        <f aca="false">IFERROR(__xludf.dummyfunction("""COMPUTED_VALUE"""),34943)</f>
        <v>34943</v>
      </c>
      <c r="AZ67" s="70" t="n">
        <f aca="false">IFERROR(__xludf.dummyfunction("""COMPUTED_VALUE"""),8515)</f>
        <v>8515</v>
      </c>
      <c r="BA67" s="70" t="n">
        <f aca="false">IFERROR(__xludf.dummyfunction("""COMPUTED_VALUE"""),14978)</f>
        <v>14978</v>
      </c>
    </row>
    <row r="68" customFormat="false" ht="15.75" hidden="false" customHeight="false" outlineLevel="0" collapsed="false">
      <c r="A68" s="78" t="str">
        <f aca="false">IFERROR(__xludf.dummyfunction("""COMPUTED_VALUE"""),"heating_fuel_type")</f>
        <v>heating_fuel_type</v>
      </c>
      <c r="B68" s="72" t="n">
        <f aca="false">IFERROR(__xludf.dummyfunction("""COMPUTED_VALUE"""),3095747)</f>
        <v>3095747</v>
      </c>
      <c r="C68" s="73" t="n">
        <f aca="false">IFERROR(__xludf.dummyfunction("""COMPUTED_VALUE"""),29138)</f>
        <v>29138</v>
      </c>
      <c r="D68" s="70" t="n">
        <f aca="false">IFERROR(__xludf.dummyfunction("""COMPUTED_VALUE"""),116)</f>
        <v>116</v>
      </c>
      <c r="E68" s="70" t="n">
        <f aca="false">IFERROR(__xludf.dummyfunction("""COMPUTED_VALUE"""),14354)</f>
        <v>14354</v>
      </c>
      <c r="F68" s="70" t="n">
        <f aca="false">IFERROR(__xludf.dummyfunction("""COMPUTED_VALUE"""),31505)</f>
        <v>31505</v>
      </c>
      <c r="G68" s="70" t="n">
        <f aca="false">IFERROR(__xludf.dummyfunction("""COMPUTED_VALUE"""),98844)</f>
        <v>98844</v>
      </c>
      <c r="H68" s="70" t="n">
        <f aca="false">IFERROR(__xludf.dummyfunction("""COMPUTED_VALUE"""),10287)</f>
        <v>10287</v>
      </c>
      <c r="I68" s="70" t="n">
        <f aca="false">IFERROR(__xludf.dummyfunction("""COMPUTED_VALUE"""),12)</f>
        <v>12</v>
      </c>
      <c r="J68" s="70" t="n">
        <f aca="false">IFERROR(__xludf.dummyfunction("""COMPUTED_VALUE"""),0)</f>
        <v>0</v>
      </c>
      <c r="K68" s="70" t="n">
        <f aca="false">IFERROR(__xludf.dummyfunction("""COMPUTED_VALUE"""),0)</f>
        <v>0</v>
      </c>
      <c r="L68" s="70" t="n">
        <f aca="false">IFERROR(__xludf.dummyfunction("""COMPUTED_VALUE"""),30069)</f>
        <v>30069</v>
      </c>
      <c r="M68" s="70" t="n">
        <f aca="false">IFERROR(__xludf.dummyfunction("""COMPUTED_VALUE"""),253534)</f>
        <v>253534</v>
      </c>
      <c r="N68" s="70" t="n">
        <f aca="false">IFERROR(__xludf.dummyfunction("""COMPUTED_VALUE"""),0)</f>
        <v>0</v>
      </c>
      <c r="O68" s="70" t="n">
        <f aca="false">IFERROR(__xludf.dummyfunction("""COMPUTED_VALUE"""),4549)</f>
        <v>4549</v>
      </c>
      <c r="P68" s="70" t="n">
        <f aca="false">IFERROR(__xludf.dummyfunction("""COMPUTED_VALUE"""),234)</f>
        <v>234</v>
      </c>
      <c r="Q68" s="70" t="n">
        <f aca="false">IFERROR(__xludf.dummyfunction("""COMPUTED_VALUE"""),290477)</f>
        <v>290477</v>
      </c>
      <c r="R68" s="70" t="n">
        <f aca="false">IFERROR(__xludf.dummyfunction("""COMPUTED_VALUE"""),3)</f>
        <v>3</v>
      </c>
      <c r="S68" s="70" t="n">
        <f aca="false">IFERROR(__xludf.dummyfunction("""COMPUTED_VALUE"""),18184)</f>
        <v>18184</v>
      </c>
      <c r="T68" s="70" t="n">
        <f aca="false">IFERROR(__xludf.dummyfunction("""COMPUTED_VALUE"""),13004)</f>
        <v>13004</v>
      </c>
      <c r="U68" s="70" t="n">
        <f aca="false">IFERROR(__xludf.dummyfunction("""COMPUTED_VALUE"""),0)</f>
        <v>0</v>
      </c>
      <c r="V68" s="70" t="n">
        <f aca="false">IFERROR(__xludf.dummyfunction("""COMPUTED_VALUE"""),0)</f>
        <v>0</v>
      </c>
      <c r="W68" s="70" t="n">
        <f aca="false">IFERROR(__xludf.dummyfunction("""COMPUTED_VALUE"""),0)</f>
        <v>0</v>
      </c>
      <c r="X68" s="70" t="n">
        <f aca="false">IFERROR(__xludf.dummyfunction("""COMPUTED_VALUE"""),3553)</f>
        <v>3553</v>
      </c>
      <c r="Y68" s="70" t="n">
        <f aca="false">IFERROR(__xludf.dummyfunction("""COMPUTED_VALUE"""),74073)</f>
        <v>74073</v>
      </c>
      <c r="Z68" s="70" t="n">
        <f aca="false">IFERROR(__xludf.dummyfunction("""COMPUTED_VALUE"""),4494)</f>
        <v>4494</v>
      </c>
      <c r="AA68" s="70" t="n">
        <f aca="false">IFERROR(__xludf.dummyfunction("""COMPUTED_VALUE"""),0)</f>
        <v>0</v>
      </c>
      <c r="AB68" s="70" t="n">
        <f aca="false">IFERROR(__xludf.dummyfunction("""COMPUTED_VALUE"""),8980)</f>
        <v>8980</v>
      </c>
      <c r="AC68" s="70" t="n">
        <f aca="false">IFERROR(__xludf.dummyfunction("""COMPUTED_VALUE"""),12665)</f>
        <v>12665</v>
      </c>
      <c r="AD68" s="70" t="n">
        <f aca="false">IFERROR(__xludf.dummyfunction("""COMPUTED_VALUE"""),2233)</f>
        <v>2233</v>
      </c>
      <c r="AE68" s="70" t="n">
        <f aca="false">IFERROR(__xludf.dummyfunction("""COMPUTED_VALUE"""),0)</f>
        <v>0</v>
      </c>
      <c r="AF68" s="70" t="n">
        <f aca="false">IFERROR(__xludf.dummyfunction("""COMPUTED_VALUE"""),61)</f>
        <v>61</v>
      </c>
      <c r="AG68" s="70" t="n">
        <f aca="false">IFERROR(__xludf.dummyfunction("""COMPUTED_VALUE"""),2615)</f>
        <v>2615</v>
      </c>
      <c r="AH68" s="70" t="n">
        <f aca="false">IFERROR(__xludf.dummyfunction("""COMPUTED_VALUE"""),0)</f>
        <v>0</v>
      </c>
      <c r="AI68" s="70" t="n">
        <f aca="false">IFERROR(__xludf.dummyfunction("""COMPUTED_VALUE"""),719792)</f>
        <v>719792</v>
      </c>
      <c r="AJ68" s="70" t="n">
        <f aca="false">IFERROR(__xludf.dummyfunction("""COMPUTED_VALUE"""),121964)</f>
        <v>121964</v>
      </c>
      <c r="AK68" s="70" t="n">
        <f aca="false">IFERROR(__xludf.dummyfunction("""COMPUTED_VALUE"""),3)</f>
        <v>3</v>
      </c>
      <c r="AL68" s="70" t="n">
        <f aca="false">IFERROR(__xludf.dummyfunction("""COMPUTED_VALUE"""),656606)</f>
        <v>656606</v>
      </c>
      <c r="AM68" s="70" t="n">
        <f aca="false">IFERROR(__xludf.dummyfunction("""COMPUTED_VALUE"""),562)</f>
        <v>562</v>
      </c>
      <c r="AN68" s="70" t="n">
        <f aca="false">IFERROR(__xludf.dummyfunction("""COMPUTED_VALUE"""),4643)</f>
        <v>4643</v>
      </c>
      <c r="AO68" s="70" t="n">
        <f aca="false">IFERROR(__xludf.dummyfunction("""COMPUTED_VALUE"""),101238)</f>
        <v>101238</v>
      </c>
      <c r="AP68" s="70" t="n">
        <f aca="false">IFERROR(__xludf.dummyfunction("""COMPUTED_VALUE"""),7)</f>
        <v>7</v>
      </c>
      <c r="AQ68" s="70" t="n">
        <f aca="false">IFERROR(__xludf.dummyfunction("""COMPUTED_VALUE"""),17210)</f>
        <v>17210</v>
      </c>
      <c r="AR68" s="70" t="n">
        <f aca="false">IFERROR(__xludf.dummyfunction("""COMPUTED_VALUE"""),0)</f>
        <v>0</v>
      </c>
      <c r="AS68" s="70" t="n">
        <f aca="false">IFERROR(__xludf.dummyfunction("""COMPUTED_VALUE"""),165881)</f>
        <v>165881</v>
      </c>
      <c r="AT68" s="70" t="n">
        <f aca="false">IFERROR(__xludf.dummyfunction("""COMPUTED_VALUE"""),292380)</f>
        <v>292380</v>
      </c>
      <c r="AU68" s="70" t="n">
        <f aca="false">IFERROR(__xludf.dummyfunction("""COMPUTED_VALUE"""),0)</f>
        <v>0</v>
      </c>
      <c r="AV68" s="70" t="n">
        <f aca="false">IFERROR(__xludf.dummyfunction("""COMPUTED_VALUE"""),0)</f>
        <v>0</v>
      </c>
      <c r="AW68" s="70" t="n">
        <f aca="false">IFERROR(__xludf.dummyfunction("""COMPUTED_VALUE"""),18412)</f>
        <v>18412</v>
      </c>
      <c r="AX68" s="70" t="n">
        <f aca="false">IFERROR(__xludf.dummyfunction("""COMPUTED_VALUE"""),21817)</f>
        <v>21817</v>
      </c>
      <c r="AY68" s="70" t="n">
        <f aca="false">IFERROR(__xludf.dummyfunction("""COMPUTED_VALUE"""),68408)</f>
        <v>68408</v>
      </c>
      <c r="AZ68" s="70" t="n">
        <f aca="false">IFERROR(__xludf.dummyfunction("""COMPUTED_VALUE"""),3832)</f>
        <v>3832</v>
      </c>
      <c r="BA68" s="70" t="n">
        <f aca="false">IFERROR(__xludf.dummyfunction("""COMPUTED_VALUE"""),8)</f>
        <v>8</v>
      </c>
    </row>
    <row r="69" customFormat="false" ht="15.75" hidden="false" customHeight="false" outlineLevel="0" collapsed="false">
      <c r="A69" s="78" t="str">
        <f aca="false">IFERROR(__xludf.dummyfunction("""COMPUTED_VALUE"""),"interior_wall_type")</f>
        <v>interior_wall_type</v>
      </c>
      <c r="B69" s="72" t="n">
        <f aca="false">IFERROR(__xludf.dummyfunction("""COMPUTED_VALUE"""),0)</f>
        <v>0</v>
      </c>
      <c r="C69" s="73" t="n">
        <f aca="false">IFERROR(__xludf.dummyfunction("""COMPUTED_VALUE"""),0)</f>
        <v>0</v>
      </c>
      <c r="D69" s="70" t="n">
        <f aca="false">IFERROR(__xludf.dummyfunction("""COMPUTED_VALUE"""),0)</f>
        <v>0</v>
      </c>
      <c r="E69" s="70" t="n">
        <f aca="false">IFERROR(__xludf.dummyfunction("""COMPUTED_VALUE"""),0)</f>
        <v>0</v>
      </c>
      <c r="F69" s="70" t="n">
        <f aca="false">IFERROR(__xludf.dummyfunction("""COMPUTED_VALUE"""),0)</f>
        <v>0</v>
      </c>
      <c r="G69" s="70" t="n">
        <f aca="false">IFERROR(__xludf.dummyfunction("""COMPUTED_VALUE"""),0)</f>
        <v>0</v>
      </c>
      <c r="H69" s="70" t="n">
        <f aca="false">IFERROR(__xludf.dummyfunction("""COMPUTED_VALUE"""),0)</f>
        <v>0</v>
      </c>
      <c r="I69" s="70" t="n">
        <f aca="false">IFERROR(__xludf.dummyfunction("""COMPUTED_VALUE"""),0)</f>
        <v>0</v>
      </c>
      <c r="J69" s="70" t="n">
        <f aca="false">IFERROR(__xludf.dummyfunction("""COMPUTED_VALUE"""),0)</f>
        <v>0</v>
      </c>
      <c r="K69" s="70" t="n">
        <f aca="false">IFERROR(__xludf.dummyfunction("""COMPUTED_VALUE"""),0)</f>
        <v>0</v>
      </c>
      <c r="L69" s="70" t="n">
        <f aca="false">IFERROR(__xludf.dummyfunction("""COMPUTED_VALUE"""),0)</f>
        <v>0</v>
      </c>
      <c r="M69" s="70" t="n">
        <f aca="false">IFERROR(__xludf.dummyfunction("""COMPUTED_VALUE"""),0)</f>
        <v>0</v>
      </c>
      <c r="N69" s="70" t="n">
        <f aca="false">IFERROR(__xludf.dummyfunction("""COMPUTED_VALUE"""),0)</f>
        <v>0</v>
      </c>
      <c r="O69" s="70" t="n">
        <f aca="false">IFERROR(__xludf.dummyfunction("""COMPUTED_VALUE"""),0)</f>
        <v>0</v>
      </c>
      <c r="P69" s="70" t="n">
        <f aca="false">IFERROR(__xludf.dummyfunction("""COMPUTED_VALUE"""),0)</f>
        <v>0</v>
      </c>
      <c r="Q69" s="70" t="n">
        <f aca="false">IFERROR(__xludf.dummyfunction("""COMPUTED_VALUE"""),0)</f>
        <v>0</v>
      </c>
      <c r="R69" s="70" t="n">
        <f aca="false">IFERROR(__xludf.dummyfunction("""COMPUTED_VALUE"""),0)</f>
        <v>0</v>
      </c>
      <c r="S69" s="70" t="n">
        <f aca="false">IFERROR(__xludf.dummyfunction("""COMPUTED_VALUE"""),0)</f>
        <v>0</v>
      </c>
      <c r="T69" s="70" t="n">
        <f aca="false">IFERROR(__xludf.dummyfunction("""COMPUTED_VALUE"""),0)</f>
        <v>0</v>
      </c>
      <c r="U69" s="70" t="n">
        <f aca="false">IFERROR(__xludf.dummyfunction("""COMPUTED_VALUE"""),0)</f>
        <v>0</v>
      </c>
      <c r="V69" s="70" t="n">
        <f aca="false">IFERROR(__xludf.dummyfunction("""COMPUTED_VALUE"""),0)</f>
        <v>0</v>
      </c>
      <c r="W69" s="70" t="n">
        <f aca="false">IFERROR(__xludf.dummyfunction("""COMPUTED_VALUE"""),0)</f>
        <v>0</v>
      </c>
      <c r="X69" s="70" t="n">
        <f aca="false">IFERROR(__xludf.dummyfunction("""COMPUTED_VALUE"""),0)</f>
        <v>0</v>
      </c>
      <c r="Y69" s="70" t="n">
        <f aca="false">IFERROR(__xludf.dummyfunction("""COMPUTED_VALUE"""),0)</f>
        <v>0</v>
      </c>
      <c r="Z69" s="70" t="n">
        <f aca="false">IFERROR(__xludf.dummyfunction("""COMPUTED_VALUE"""),0)</f>
        <v>0</v>
      </c>
      <c r="AA69" s="70" t="n">
        <f aca="false">IFERROR(__xludf.dummyfunction("""COMPUTED_VALUE"""),0)</f>
        <v>0</v>
      </c>
      <c r="AB69" s="70" t="n">
        <f aca="false">IFERROR(__xludf.dummyfunction("""COMPUTED_VALUE"""),0)</f>
        <v>0</v>
      </c>
      <c r="AC69" s="70" t="n">
        <f aca="false">IFERROR(__xludf.dummyfunction("""COMPUTED_VALUE"""),0)</f>
        <v>0</v>
      </c>
      <c r="AD69" s="70" t="n">
        <f aca="false">IFERROR(__xludf.dummyfunction("""COMPUTED_VALUE"""),0)</f>
        <v>0</v>
      </c>
      <c r="AE69" s="70" t="n">
        <f aca="false">IFERROR(__xludf.dummyfunction("""COMPUTED_VALUE"""),0)</f>
        <v>0</v>
      </c>
      <c r="AF69" s="70" t="n">
        <f aca="false">IFERROR(__xludf.dummyfunction("""COMPUTED_VALUE"""),0)</f>
        <v>0</v>
      </c>
      <c r="AG69" s="70" t="n">
        <f aca="false">IFERROR(__xludf.dummyfunction("""COMPUTED_VALUE"""),0)</f>
        <v>0</v>
      </c>
      <c r="AH69" s="70" t="n">
        <f aca="false">IFERROR(__xludf.dummyfunction("""COMPUTED_VALUE"""),0)</f>
        <v>0</v>
      </c>
      <c r="AI69" s="70" t="n">
        <f aca="false">IFERROR(__xludf.dummyfunction("""COMPUTED_VALUE"""),0)</f>
        <v>0</v>
      </c>
      <c r="AJ69" s="70" t="n">
        <f aca="false">IFERROR(__xludf.dummyfunction("""COMPUTED_VALUE"""),0)</f>
        <v>0</v>
      </c>
      <c r="AK69" s="70" t="n">
        <f aca="false">IFERROR(__xludf.dummyfunction("""COMPUTED_VALUE"""),0)</f>
        <v>0</v>
      </c>
      <c r="AL69" s="70" t="n">
        <f aca="false">IFERROR(__xludf.dummyfunction("""COMPUTED_VALUE"""),0)</f>
        <v>0</v>
      </c>
      <c r="AM69" s="70" t="n">
        <f aca="false">IFERROR(__xludf.dummyfunction("""COMPUTED_VALUE"""),0)</f>
        <v>0</v>
      </c>
      <c r="AN69" s="70" t="n">
        <f aca="false">IFERROR(__xludf.dummyfunction("""COMPUTED_VALUE"""),0)</f>
        <v>0</v>
      </c>
      <c r="AO69" s="70" t="n">
        <f aca="false">IFERROR(__xludf.dummyfunction("""COMPUTED_VALUE"""),0)</f>
        <v>0</v>
      </c>
      <c r="AP69" s="70" t="n">
        <f aca="false">IFERROR(__xludf.dummyfunction("""COMPUTED_VALUE"""),0)</f>
        <v>0</v>
      </c>
      <c r="AQ69" s="70" t="n">
        <f aca="false">IFERROR(__xludf.dummyfunction("""COMPUTED_VALUE"""),0)</f>
        <v>0</v>
      </c>
      <c r="AR69" s="70" t="n">
        <f aca="false">IFERROR(__xludf.dummyfunction("""COMPUTED_VALUE"""),0)</f>
        <v>0</v>
      </c>
      <c r="AS69" s="70" t="n">
        <f aca="false">IFERROR(__xludf.dummyfunction("""COMPUTED_VALUE"""),0)</f>
        <v>0</v>
      </c>
      <c r="AT69" s="70" t="n">
        <f aca="false">IFERROR(__xludf.dummyfunction("""COMPUTED_VALUE"""),0)</f>
        <v>0</v>
      </c>
      <c r="AU69" s="70" t="n">
        <f aca="false">IFERROR(__xludf.dummyfunction("""COMPUTED_VALUE"""),0)</f>
        <v>0</v>
      </c>
      <c r="AV69" s="70" t="n">
        <f aca="false">IFERROR(__xludf.dummyfunction("""COMPUTED_VALUE"""),0)</f>
        <v>0</v>
      </c>
      <c r="AW69" s="70" t="n">
        <f aca="false">IFERROR(__xludf.dummyfunction("""COMPUTED_VALUE"""),0)</f>
        <v>0</v>
      </c>
      <c r="AX69" s="70" t="n">
        <f aca="false">IFERROR(__xludf.dummyfunction("""COMPUTED_VALUE"""),0)</f>
        <v>0</v>
      </c>
      <c r="AY69" s="70" t="n">
        <f aca="false">IFERROR(__xludf.dummyfunction("""COMPUTED_VALUE"""),0)</f>
        <v>0</v>
      </c>
      <c r="AZ69" s="70" t="n">
        <f aca="false">IFERROR(__xludf.dummyfunction("""COMPUTED_VALUE"""),0)</f>
        <v>0</v>
      </c>
      <c r="BA69" s="70" t="n">
        <f aca="false">IFERROR(__xludf.dummyfunction("""COMPUTED_VALUE"""),0)</f>
        <v>0</v>
      </c>
    </row>
    <row r="70" customFormat="false" ht="15.75" hidden="false" customHeight="false" outlineLevel="0" collapsed="false">
      <c r="A70" s="78" t="str">
        <f aca="false">IFERROR(__xludf.dummyfunction("""COMPUTED_VALUE"""),"other_rooms")</f>
        <v>other_rooms</v>
      </c>
      <c r="B70" s="72" t="n">
        <f aca="false">IFERROR(__xludf.dummyfunction("""COMPUTED_VALUE"""),0)</f>
        <v>0</v>
      </c>
      <c r="C70" s="73" t="n">
        <f aca="false">IFERROR(__xludf.dummyfunction("""COMPUTED_VALUE"""),0)</f>
        <v>0</v>
      </c>
      <c r="D70" s="70" t="n">
        <f aca="false">IFERROR(__xludf.dummyfunction("""COMPUTED_VALUE"""),0)</f>
        <v>0</v>
      </c>
      <c r="E70" s="70" t="n">
        <f aca="false">IFERROR(__xludf.dummyfunction("""COMPUTED_VALUE"""),0)</f>
        <v>0</v>
      </c>
      <c r="F70" s="70" t="n">
        <f aca="false">IFERROR(__xludf.dummyfunction("""COMPUTED_VALUE"""),0)</f>
        <v>0</v>
      </c>
      <c r="G70" s="70" t="n">
        <f aca="false">IFERROR(__xludf.dummyfunction("""COMPUTED_VALUE"""),0)</f>
        <v>0</v>
      </c>
      <c r="H70" s="70" t="n">
        <f aca="false">IFERROR(__xludf.dummyfunction("""COMPUTED_VALUE"""),0)</f>
        <v>0</v>
      </c>
      <c r="I70" s="70" t="n">
        <f aca="false">IFERROR(__xludf.dummyfunction("""COMPUTED_VALUE"""),0)</f>
        <v>0</v>
      </c>
      <c r="J70" s="70" t="n">
        <f aca="false">IFERROR(__xludf.dummyfunction("""COMPUTED_VALUE"""),0)</f>
        <v>0</v>
      </c>
      <c r="K70" s="70" t="n">
        <f aca="false">IFERROR(__xludf.dummyfunction("""COMPUTED_VALUE"""),0)</f>
        <v>0</v>
      </c>
      <c r="L70" s="70" t="n">
        <f aca="false">IFERROR(__xludf.dummyfunction("""COMPUTED_VALUE"""),0)</f>
        <v>0</v>
      </c>
      <c r="M70" s="70" t="n">
        <f aca="false">IFERROR(__xludf.dummyfunction("""COMPUTED_VALUE"""),0)</f>
        <v>0</v>
      </c>
      <c r="N70" s="70" t="n">
        <f aca="false">IFERROR(__xludf.dummyfunction("""COMPUTED_VALUE"""),0)</f>
        <v>0</v>
      </c>
      <c r="O70" s="70" t="n">
        <f aca="false">IFERROR(__xludf.dummyfunction("""COMPUTED_VALUE"""),0)</f>
        <v>0</v>
      </c>
      <c r="P70" s="70" t="n">
        <f aca="false">IFERROR(__xludf.dummyfunction("""COMPUTED_VALUE"""),0)</f>
        <v>0</v>
      </c>
      <c r="Q70" s="70" t="n">
        <f aca="false">IFERROR(__xludf.dummyfunction("""COMPUTED_VALUE"""),0)</f>
        <v>0</v>
      </c>
      <c r="R70" s="70" t="n">
        <f aca="false">IFERROR(__xludf.dummyfunction("""COMPUTED_VALUE"""),0)</f>
        <v>0</v>
      </c>
      <c r="S70" s="70" t="n">
        <f aca="false">IFERROR(__xludf.dummyfunction("""COMPUTED_VALUE"""),0)</f>
        <v>0</v>
      </c>
      <c r="T70" s="70" t="n">
        <f aca="false">IFERROR(__xludf.dummyfunction("""COMPUTED_VALUE"""),0)</f>
        <v>0</v>
      </c>
      <c r="U70" s="70" t="n">
        <f aca="false">IFERROR(__xludf.dummyfunction("""COMPUTED_VALUE"""),0)</f>
        <v>0</v>
      </c>
      <c r="V70" s="70" t="n">
        <f aca="false">IFERROR(__xludf.dummyfunction("""COMPUTED_VALUE"""),0)</f>
        <v>0</v>
      </c>
      <c r="W70" s="70" t="n">
        <f aca="false">IFERROR(__xludf.dummyfunction("""COMPUTED_VALUE"""),0)</f>
        <v>0</v>
      </c>
      <c r="X70" s="70" t="n">
        <f aca="false">IFERROR(__xludf.dummyfunction("""COMPUTED_VALUE"""),0)</f>
        <v>0</v>
      </c>
      <c r="Y70" s="70" t="n">
        <f aca="false">IFERROR(__xludf.dummyfunction("""COMPUTED_VALUE"""),0)</f>
        <v>0</v>
      </c>
      <c r="Z70" s="70" t="n">
        <f aca="false">IFERROR(__xludf.dummyfunction("""COMPUTED_VALUE"""),0)</f>
        <v>0</v>
      </c>
      <c r="AA70" s="70" t="n">
        <f aca="false">IFERROR(__xludf.dummyfunction("""COMPUTED_VALUE"""),0)</f>
        <v>0</v>
      </c>
      <c r="AB70" s="70" t="n">
        <f aca="false">IFERROR(__xludf.dummyfunction("""COMPUTED_VALUE"""),0)</f>
        <v>0</v>
      </c>
      <c r="AC70" s="70" t="n">
        <f aca="false">IFERROR(__xludf.dummyfunction("""COMPUTED_VALUE"""),0)</f>
        <v>0</v>
      </c>
      <c r="AD70" s="70" t="n">
        <f aca="false">IFERROR(__xludf.dummyfunction("""COMPUTED_VALUE"""),0)</f>
        <v>0</v>
      </c>
      <c r="AE70" s="70" t="n">
        <f aca="false">IFERROR(__xludf.dummyfunction("""COMPUTED_VALUE"""),0)</f>
        <v>0</v>
      </c>
      <c r="AF70" s="70" t="n">
        <f aca="false">IFERROR(__xludf.dummyfunction("""COMPUTED_VALUE"""),0)</f>
        <v>0</v>
      </c>
      <c r="AG70" s="70" t="n">
        <f aca="false">IFERROR(__xludf.dummyfunction("""COMPUTED_VALUE"""),0)</f>
        <v>0</v>
      </c>
      <c r="AH70" s="70" t="n">
        <f aca="false">IFERROR(__xludf.dummyfunction("""COMPUTED_VALUE"""),0)</f>
        <v>0</v>
      </c>
      <c r="AI70" s="70" t="n">
        <f aca="false">IFERROR(__xludf.dummyfunction("""COMPUTED_VALUE"""),0)</f>
        <v>0</v>
      </c>
      <c r="AJ70" s="70" t="n">
        <f aca="false">IFERROR(__xludf.dummyfunction("""COMPUTED_VALUE"""),0)</f>
        <v>0</v>
      </c>
      <c r="AK70" s="70" t="n">
        <f aca="false">IFERROR(__xludf.dummyfunction("""COMPUTED_VALUE"""),0)</f>
        <v>0</v>
      </c>
      <c r="AL70" s="70" t="n">
        <f aca="false">IFERROR(__xludf.dummyfunction("""COMPUTED_VALUE"""),0)</f>
        <v>0</v>
      </c>
      <c r="AM70" s="70" t="n">
        <f aca="false">IFERROR(__xludf.dummyfunction("""COMPUTED_VALUE"""),0)</f>
        <v>0</v>
      </c>
      <c r="AN70" s="70" t="n">
        <f aca="false">IFERROR(__xludf.dummyfunction("""COMPUTED_VALUE"""),0)</f>
        <v>0</v>
      </c>
      <c r="AO70" s="70" t="n">
        <f aca="false">IFERROR(__xludf.dummyfunction("""COMPUTED_VALUE"""),0)</f>
        <v>0</v>
      </c>
      <c r="AP70" s="70" t="n">
        <f aca="false">IFERROR(__xludf.dummyfunction("""COMPUTED_VALUE"""),0)</f>
        <v>0</v>
      </c>
      <c r="AQ70" s="70" t="n">
        <f aca="false">IFERROR(__xludf.dummyfunction("""COMPUTED_VALUE"""),0)</f>
        <v>0</v>
      </c>
      <c r="AR70" s="70" t="n">
        <f aca="false">IFERROR(__xludf.dummyfunction("""COMPUTED_VALUE"""),0)</f>
        <v>0</v>
      </c>
      <c r="AS70" s="70" t="n">
        <f aca="false">IFERROR(__xludf.dummyfunction("""COMPUTED_VALUE"""),0)</f>
        <v>0</v>
      </c>
      <c r="AT70" s="70" t="n">
        <f aca="false">IFERROR(__xludf.dummyfunction("""COMPUTED_VALUE"""),0)</f>
        <v>0</v>
      </c>
      <c r="AU70" s="70" t="n">
        <f aca="false">IFERROR(__xludf.dummyfunction("""COMPUTED_VALUE"""),0)</f>
        <v>0</v>
      </c>
      <c r="AV70" s="70" t="n">
        <f aca="false">IFERROR(__xludf.dummyfunction("""COMPUTED_VALUE"""),0)</f>
        <v>0</v>
      </c>
      <c r="AW70" s="70" t="n">
        <f aca="false">IFERROR(__xludf.dummyfunction("""COMPUTED_VALUE"""),0)</f>
        <v>0</v>
      </c>
      <c r="AX70" s="70" t="n">
        <f aca="false">IFERROR(__xludf.dummyfunction("""COMPUTED_VALUE"""),0)</f>
        <v>0</v>
      </c>
      <c r="AY70" s="70" t="n">
        <f aca="false">IFERROR(__xludf.dummyfunction("""COMPUTED_VALUE"""),0)</f>
        <v>0</v>
      </c>
      <c r="AZ70" s="70" t="n">
        <f aca="false">IFERROR(__xludf.dummyfunction("""COMPUTED_VALUE"""),0)</f>
        <v>0</v>
      </c>
      <c r="BA70" s="70" t="n">
        <f aca="false">IFERROR(__xludf.dummyfunction("""COMPUTED_VALUE"""),0)</f>
        <v>0</v>
      </c>
    </row>
    <row r="71" customFormat="false" ht="15.75" hidden="false" customHeight="false" outlineLevel="0" collapsed="false">
      <c r="A71" s="78" t="str">
        <f aca="false">IFERROR(__xludf.dummyfunction("""COMPUTED_VALUE"""),"parking_type")</f>
        <v>parking_type</v>
      </c>
      <c r="B71" s="72" t="n">
        <f aca="false">IFERROR(__xludf.dummyfunction("""COMPUTED_VALUE"""),1241521)</f>
        <v>1241521</v>
      </c>
      <c r="C71" s="73" t="n">
        <f aca="false">IFERROR(__xludf.dummyfunction("""COMPUTED_VALUE"""),11874)</f>
        <v>11874</v>
      </c>
      <c r="D71" s="70" t="n">
        <f aca="false">IFERROR(__xludf.dummyfunction("""COMPUTED_VALUE"""),1228)</f>
        <v>1228</v>
      </c>
      <c r="E71" s="70" t="n">
        <f aca="false">IFERROR(__xludf.dummyfunction("""COMPUTED_VALUE"""),4538)</f>
        <v>4538</v>
      </c>
      <c r="F71" s="70" t="n">
        <f aca="false">IFERROR(__xludf.dummyfunction("""COMPUTED_VALUE"""),7566)</f>
        <v>7566</v>
      </c>
      <c r="G71" s="70" t="n">
        <f aca="false">IFERROR(__xludf.dummyfunction("""COMPUTED_VALUE"""),92510)</f>
        <v>92510</v>
      </c>
      <c r="H71" s="70" t="n">
        <f aca="false">IFERROR(__xludf.dummyfunction("""COMPUTED_VALUE"""),22155)</f>
        <v>22155</v>
      </c>
      <c r="I71" s="70" t="n">
        <f aca="false">IFERROR(__xludf.dummyfunction("""COMPUTED_VALUE"""),11623)</f>
        <v>11623</v>
      </c>
      <c r="J71" s="70" t="n">
        <f aca="false">IFERROR(__xludf.dummyfunction("""COMPUTED_VALUE"""),99)</f>
        <v>99</v>
      </c>
      <c r="K71" s="70" t="n">
        <f aca="false">IFERROR(__xludf.dummyfunction("""COMPUTED_VALUE"""),3409)</f>
        <v>3409</v>
      </c>
      <c r="L71" s="70" t="n">
        <f aca="false">IFERROR(__xludf.dummyfunction("""COMPUTED_VALUE"""),43607)</f>
        <v>43607</v>
      </c>
      <c r="M71" s="70" t="n">
        <f aca="false">IFERROR(__xludf.dummyfunction("""COMPUTED_VALUE"""),46561)</f>
        <v>46561</v>
      </c>
      <c r="N71" s="70" t="n">
        <f aca="false">IFERROR(__xludf.dummyfunction("""COMPUTED_VALUE"""),2278)</f>
        <v>2278</v>
      </c>
      <c r="O71" s="70" t="n">
        <f aca="false">IFERROR(__xludf.dummyfunction("""COMPUTED_VALUE"""),4900)</f>
        <v>4900</v>
      </c>
      <c r="P71" s="70" t="n">
        <f aca="false">IFERROR(__xludf.dummyfunction("""COMPUTED_VALUE"""),36594)</f>
        <v>36594</v>
      </c>
      <c r="Q71" s="70" t="n">
        <f aca="false">IFERROR(__xludf.dummyfunction("""COMPUTED_VALUE"""),12705)</f>
        <v>12705</v>
      </c>
      <c r="R71" s="70" t="n">
        <f aca="false">IFERROR(__xludf.dummyfunction("""COMPUTED_VALUE"""),2213)</f>
        <v>2213</v>
      </c>
      <c r="S71" s="70" t="n">
        <f aca="false">IFERROR(__xludf.dummyfunction("""COMPUTED_VALUE"""),320436)</f>
        <v>320436</v>
      </c>
      <c r="T71" s="70" t="n">
        <f aca="false">IFERROR(__xludf.dummyfunction("""COMPUTED_VALUE"""),10390)</f>
        <v>10390</v>
      </c>
      <c r="U71" s="70" t="n">
        <f aca="false">IFERROR(__xludf.dummyfunction("""COMPUTED_VALUE"""),513)</f>
        <v>513</v>
      </c>
      <c r="V71" s="70" t="n">
        <f aca="false">IFERROR(__xludf.dummyfunction("""COMPUTED_VALUE"""),3276)</f>
        <v>3276</v>
      </c>
      <c r="W71" s="70" t="n">
        <f aca="false">IFERROR(__xludf.dummyfunction("""COMPUTED_VALUE"""),6019)</f>
        <v>6019</v>
      </c>
      <c r="X71" s="70" t="n">
        <f aca="false">IFERROR(__xludf.dummyfunction("""COMPUTED_VALUE"""),14921)</f>
        <v>14921</v>
      </c>
      <c r="Y71" s="70" t="n">
        <f aca="false">IFERROR(__xludf.dummyfunction("""COMPUTED_VALUE"""),3745)</f>
        <v>3745</v>
      </c>
      <c r="Z71" s="70" t="n">
        <f aca="false">IFERROR(__xludf.dummyfunction("""COMPUTED_VALUE"""),18669)</f>
        <v>18669</v>
      </c>
      <c r="AA71" s="70" t="n">
        <f aca="false">IFERROR(__xludf.dummyfunction("""COMPUTED_VALUE"""),5302)</f>
        <v>5302</v>
      </c>
      <c r="AB71" s="70" t="n">
        <f aca="false">IFERROR(__xludf.dummyfunction("""COMPUTED_VALUE"""),17246)</f>
        <v>17246</v>
      </c>
      <c r="AC71" s="70" t="n">
        <f aca="false">IFERROR(__xludf.dummyfunction("""COMPUTED_VALUE"""),27575)</f>
        <v>27575</v>
      </c>
      <c r="AD71" s="70" t="n">
        <f aca="false">IFERROR(__xludf.dummyfunction("""COMPUTED_VALUE"""),7725)</f>
        <v>7725</v>
      </c>
      <c r="AE71" s="70" t="n">
        <f aca="false">IFERROR(__xludf.dummyfunction("""COMPUTED_VALUE"""),1771)</f>
        <v>1771</v>
      </c>
      <c r="AF71" s="70" t="n">
        <f aca="false">IFERROR(__xludf.dummyfunction("""COMPUTED_VALUE"""),6449)</f>
        <v>6449</v>
      </c>
      <c r="AG71" s="70" t="n">
        <f aca="false">IFERROR(__xludf.dummyfunction("""COMPUTED_VALUE"""),17494)</f>
        <v>17494</v>
      </c>
      <c r="AH71" s="70" t="n">
        <f aca="false">IFERROR(__xludf.dummyfunction("""COMPUTED_VALUE"""),278)</f>
        <v>278</v>
      </c>
      <c r="AI71" s="70" t="n">
        <f aca="false">IFERROR(__xludf.dummyfunction("""COMPUTED_VALUE"""),41221)</f>
        <v>41221</v>
      </c>
      <c r="AJ71" s="70" t="n">
        <f aca="false">IFERROR(__xludf.dummyfunction("""COMPUTED_VALUE"""),13900)</f>
        <v>13900</v>
      </c>
      <c r="AK71" s="70" t="n">
        <f aca="false">IFERROR(__xludf.dummyfunction("""COMPUTED_VALUE"""),294)</f>
        <v>294</v>
      </c>
      <c r="AL71" s="70" t="n">
        <f aca="false">IFERROR(__xludf.dummyfunction("""COMPUTED_VALUE"""),69285)</f>
        <v>69285</v>
      </c>
      <c r="AM71" s="70" t="n">
        <f aca="false">IFERROR(__xludf.dummyfunction("""COMPUTED_VALUE"""),20896)</f>
        <v>20896</v>
      </c>
      <c r="AN71" s="70" t="n">
        <f aca="false">IFERROR(__xludf.dummyfunction("""COMPUTED_VALUE"""),10179)</f>
        <v>10179</v>
      </c>
      <c r="AO71" s="70" t="n">
        <f aca="false">IFERROR(__xludf.dummyfunction("""COMPUTED_VALUE"""),40508)</f>
        <v>40508</v>
      </c>
      <c r="AP71" s="70" t="n">
        <f aca="false">IFERROR(__xludf.dummyfunction("""COMPUTED_VALUE"""),3591)</f>
        <v>3591</v>
      </c>
      <c r="AQ71" s="70" t="n">
        <f aca="false">IFERROR(__xludf.dummyfunction("""COMPUTED_VALUE"""),13326)</f>
        <v>13326</v>
      </c>
      <c r="AR71" s="70" t="n">
        <f aca="false">IFERROR(__xludf.dummyfunction("""COMPUTED_VALUE"""),2195)</f>
        <v>2195</v>
      </c>
      <c r="AS71" s="70" t="n">
        <f aca="false">IFERROR(__xludf.dummyfunction("""COMPUTED_VALUE"""),21417)</f>
        <v>21417</v>
      </c>
      <c r="AT71" s="70" t="n">
        <f aca="false">IFERROR(__xludf.dummyfunction("""COMPUTED_VALUE"""),148525)</f>
        <v>148525</v>
      </c>
      <c r="AU71" s="70" t="n">
        <f aca="false">IFERROR(__xludf.dummyfunction("""COMPUTED_VALUE"""),3535)</f>
        <v>3535</v>
      </c>
      <c r="AV71" s="70" t="n">
        <f aca="false">IFERROR(__xludf.dummyfunction("""COMPUTED_VALUE"""),1156)</f>
        <v>1156</v>
      </c>
      <c r="AW71" s="70" t="n">
        <f aca="false">IFERROR(__xludf.dummyfunction("""COMPUTED_VALUE"""),11240)</f>
        <v>11240</v>
      </c>
      <c r="AX71" s="70" t="n">
        <f aca="false">IFERROR(__xludf.dummyfunction("""COMPUTED_VALUE"""),11741)</f>
        <v>11741</v>
      </c>
      <c r="AY71" s="70" t="n">
        <f aca="false">IFERROR(__xludf.dummyfunction("""COMPUTED_VALUE"""),57129)</f>
        <v>57129</v>
      </c>
      <c r="AZ71" s="70" t="n">
        <f aca="false">IFERROR(__xludf.dummyfunction("""COMPUTED_VALUE"""),4869)</f>
        <v>4869</v>
      </c>
      <c r="BA71" s="70" t="n">
        <f aca="false">IFERROR(__xludf.dummyfunction("""COMPUTED_VALUE"""),845)</f>
        <v>845</v>
      </c>
    </row>
    <row r="72" customFormat="false" ht="15.75" hidden="false" customHeight="false" outlineLevel="0" collapsed="false">
      <c r="A72" s="78" t="str">
        <f aca="false">IFERROR(__xludf.dummyfunction("""COMPUTED_VALUE"""),"parking_spaces_count")</f>
        <v>parking_spaces_count</v>
      </c>
      <c r="B72" s="72" t="n">
        <f aca="false">IFERROR(__xludf.dummyfunction("""COMPUTED_VALUE"""),74147)</f>
        <v>74147</v>
      </c>
      <c r="C72" s="73" t="n">
        <f aca="false">IFERROR(__xludf.dummyfunction("""COMPUTED_VALUE"""),0)</f>
        <v>0</v>
      </c>
      <c r="D72" s="70" t="n">
        <f aca="false">IFERROR(__xludf.dummyfunction("""COMPUTED_VALUE"""),0)</f>
        <v>0</v>
      </c>
      <c r="E72" s="70" t="n">
        <f aca="false">IFERROR(__xludf.dummyfunction("""COMPUTED_VALUE"""),0)</f>
        <v>0</v>
      </c>
      <c r="F72" s="70" t="n">
        <f aca="false">IFERROR(__xludf.dummyfunction("""COMPUTED_VALUE"""),0)</f>
        <v>0</v>
      </c>
      <c r="G72" s="70" t="n">
        <f aca="false">IFERROR(__xludf.dummyfunction("""COMPUTED_VALUE"""),49021)</f>
        <v>49021</v>
      </c>
      <c r="H72" s="70" t="n">
        <f aca="false">IFERROR(__xludf.dummyfunction("""COMPUTED_VALUE"""),136)</f>
        <v>136</v>
      </c>
      <c r="I72" s="70" t="n">
        <f aca="false">IFERROR(__xludf.dummyfunction("""COMPUTED_VALUE"""),1206)</f>
        <v>1206</v>
      </c>
      <c r="J72" s="70" t="n">
        <f aca="false">IFERROR(__xludf.dummyfunction("""COMPUTED_VALUE"""),0)</f>
        <v>0</v>
      </c>
      <c r="K72" s="70" t="n">
        <f aca="false">IFERROR(__xludf.dummyfunction("""COMPUTED_VALUE"""),0)</f>
        <v>0</v>
      </c>
      <c r="L72" s="70" t="n">
        <f aca="false">IFERROR(__xludf.dummyfunction("""COMPUTED_VALUE"""),3611)</f>
        <v>3611</v>
      </c>
      <c r="M72" s="70" t="n">
        <f aca="false">IFERROR(__xludf.dummyfunction("""COMPUTED_VALUE"""),1182)</f>
        <v>1182</v>
      </c>
      <c r="N72" s="70" t="n">
        <f aca="false">IFERROR(__xludf.dummyfunction("""COMPUTED_VALUE"""),42)</f>
        <v>42</v>
      </c>
      <c r="O72" s="70" t="n">
        <f aca="false">IFERROR(__xludf.dummyfunction("""COMPUTED_VALUE"""),0)</f>
        <v>0</v>
      </c>
      <c r="P72" s="70" t="n">
        <f aca="false">IFERROR(__xludf.dummyfunction("""COMPUTED_VALUE"""),0)</f>
        <v>0</v>
      </c>
      <c r="Q72" s="70" t="n">
        <f aca="false">IFERROR(__xludf.dummyfunction("""COMPUTED_VALUE"""),0)</f>
        <v>0</v>
      </c>
      <c r="R72" s="70" t="n">
        <f aca="false">IFERROR(__xludf.dummyfunction("""COMPUTED_VALUE"""),74)</f>
        <v>74</v>
      </c>
      <c r="S72" s="70" t="n">
        <f aca="false">IFERROR(__xludf.dummyfunction("""COMPUTED_VALUE"""),37)</f>
        <v>37</v>
      </c>
      <c r="T72" s="70" t="n">
        <f aca="false">IFERROR(__xludf.dummyfunction("""COMPUTED_VALUE"""),812)</f>
        <v>812</v>
      </c>
      <c r="U72" s="70" t="n">
        <f aca="false">IFERROR(__xludf.dummyfunction("""COMPUTED_VALUE"""),0)</f>
        <v>0</v>
      </c>
      <c r="V72" s="70" t="n">
        <f aca="false">IFERROR(__xludf.dummyfunction("""COMPUTED_VALUE"""),53)</f>
        <v>53</v>
      </c>
      <c r="W72" s="70" t="n">
        <f aca="false">IFERROR(__xludf.dummyfunction("""COMPUTED_VALUE"""),0)</f>
        <v>0</v>
      </c>
      <c r="X72" s="70" t="n">
        <f aca="false">IFERROR(__xludf.dummyfunction("""COMPUTED_VALUE"""),2254)</f>
        <v>2254</v>
      </c>
      <c r="Y72" s="70" t="n">
        <f aca="false">IFERROR(__xludf.dummyfunction("""COMPUTED_VALUE"""),0)</f>
        <v>0</v>
      </c>
      <c r="Z72" s="70" t="n">
        <f aca="false">IFERROR(__xludf.dummyfunction("""COMPUTED_VALUE"""),0)</f>
        <v>0</v>
      </c>
      <c r="AA72" s="70" t="n">
        <f aca="false">IFERROR(__xludf.dummyfunction("""COMPUTED_VALUE"""),0)</f>
        <v>0</v>
      </c>
      <c r="AB72" s="70" t="n">
        <f aca="false">IFERROR(__xludf.dummyfunction("""COMPUTED_VALUE"""),0)</f>
        <v>0</v>
      </c>
      <c r="AC72" s="70" t="n">
        <f aca="false">IFERROR(__xludf.dummyfunction("""COMPUTED_VALUE"""),0)</f>
        <v>0</v>
      </c>
      <c r="AD72" s="70" t="n">
        <f aca="false">IFERROR(__xludf.dummyfunction("""COMPUTED_VALUE"""),0)</f>
        <v>0</v>
      </c>
      <c r="AE72" s="70" t="n">
        <f aca="false">IFERROR(__xludf.dummyfunction("""COMPUTED_VALUE"""),2130)</f>
        <v>2130</v>
      </c>
      <c r="AF72" s="70" t="n">
        <f aca="false">IFERROR(__xludf.dummyfunction("""COMPUTED_VALUE"""),524)</f>
        <v>524</v>
      </c>
      <c r="AG72" s="70" t="n">
        <f aca="false">IFERROR(__xludf.dummyfunction("""COMPUTED_VALUE"""),0)</f>
        <v>0</v>
      </c>
      <c r="AH72" s="70" t="n">
        <f aca="false">IFERROR(__xludf.dummyfunction("""COMPUTED_VALUE"""),0)</f>
        <v>0</v>
      </c>
      <c r="AI72" s="70" t="n">
        <f aca="false">IFERROR(__xludf.dummyfunction("""COMPUTED_VALUE"""),954)</f>
        <v>954</v>
      </c>
      <c r="AJ72" s="70" t="n">
        <f aca="false">IFERROR(__xludf.dummyfunction("""COMPUTED_VALUE"""),0)</f>
        <v>0</v>
      </c>
      <c r="AK72" s="70" t="n">
        <f aca="false">IFERROR(__xludf.dummyfunction("""COMPUTED_VALUE"""),0)</f>
        <v>0</v>
      </c>
      <c r="AL72" s="70" t="n">
        <f aca="false">IFERROR(__xludf.dummyfunction("""COMPUTED_VALUE"""),508)</f>
        <v>508</v>
      </c>
      <c r="AM72" s="70" t="n">
        <f aca="false">IFERROR(__xludf.dummyfunction("""COMPUTED_VALUE"""),9638)</f>
        <v>9638</v>
      </c>
      <c r="AN72" s="70" t="n">
        <f aca="false">IFERROR(__xludf.dummyfunction("""COMPUTED_VALUE"""),0)</f>
        <v>0</v>
      </c>
      <c r="AO72" s="70" t="n">
        <f aca="false">IFERROR(__xludf.dummyfunction("""COMPUTED_VALUE"""),43)</f>
        <v>43</v>
      </c>
      <c r="AP72" s="70" t="n">
        <f aca="false">IFERROR(__xludf.dummyfunction("""COMPUTED_VALUE"""),824)</f>
        <v>824</v>
      </c>
      <c r="AQ72" s="70" t="n">
        <f aca="false">IFERROR(__xludf.dummyfunction("""COMPUTED_VALUE"""),0)</f>
        <v>0</v>
      </c>
      <c r="AR72" s="70" t="n">
        <f aca="false">IFERROR(__xludf.dummyfunction("""COMPUTED_VALUE"""),0)</f>
        <v>0</v>
      </c>
      <c r="AS72" s="70" t="n">
        <f aca="false">IFERROR(__xludf.dummyfunction("""COMPUTED_VALUE"""),0)</f>
        <v>0</v>
      </c>
      <c r="AT72" s="70" t="n">
        <f aca="false">IFERROR(__xludf.dummyfunction("""COMPUTED_VALUE"""),0)</f>
        <v>0</v>
      </c>
      <c r="AU72" s="70" t="n">
        <f aca="false">IFERROR(__xludf.dummyfunction("""COMPUTED_VALUE"""),0)</f>
        <v>0</v>
      </c>
      <c r="AV72" s="70" t="n">
        <f aca="false">IFERROR(__xludf.dummyfunction("""COMPUTED_VALUE"""),87)</f>
        <v>87</v>
      </c>
      <c r="AW72" s="70" t="n">
        <f aca="false">IFERROR(__xludf.dummyfunction("""COMPUTED_VALUE"""),472)</f>
        <v>472</v>
      </c>
      <c r="AX72" s="70" t="n">
        <f aca="false">IFERROR(__xludf.dummyfunction("""COMPUTED_VALUE"""),48)</f>
        <v>48</v>
      </c>
      <c r="AY72" s="70" t="n">
        <f aca="false">IFERROR(__xludf.dummyfunction("""COMPUTED_VALUE"""),454)</f>
        <v>454</v>
      </c>
      <c r="AZ72" s="70" t="n">
        <f aca="false">IFERROR(__xludf.dummyfunction("""COMPUTED_VALUE"""),37)</f>
        <v>37</v>
      </c>
      <c r="BA72" s="70" t="n">
        <f aca="false">IFERROR(__xludf.dummyfunction("""COMPUTED_VALUE"""),0)</f>
        <v>0</v>
      </c>
    </row>
    <row r="73" customFormat="false" ht="15.75" hidden="false" customHeight="false" outlineLevel="0" collapsed="false">
      <c r="A73" s="78" t="str">
        <f aca="false">IFERROR(__xludf.dummyfunction("""COMPUTED_VALUE"""),"plumbing_fixtures_count")</f>
        <v>plumbing_fixtures_count</v>
      </c>
      <c r="B73" s="72" t="n">
        <f aca="false">IFERROR(__xludf.dummyfunction("""COMPUTED_VALUE"""),471372)</f>
        <v>471372</v>
      </c>
      <c r="C73" s="73" t="n">
        <f aca="false">IFERROR(__xludf.dummyfunction("""COMPUTED_VALUE"""),37806)</f>
        <v>37806</v>
      </c>
      <c r="D73" s="70" t="n">
        <f aca="false">IFERROR(__xludf.dummyfunction("""COMPUTED_VALUE"""),49)</f>
        <v>49</v>
      </c>
      <c r="E73" s="70" t="n">
        <f aca="false">IFERROR(__xludf.dummyfunction("""COMPUTED_VALUE"""),4043)</f>
        <v>4043</v>
      </c>
      <c r="F73" s="70" t="n">
        <f aca="false">IFERROR(__xludf.dummyfunction("""COMPUTED_VALUE"""),1562)</f>
        <v>1562</v>
      </c>
      <c r="G73" s="70" t="n">
        <f aca="false">IFERROR(__xludf.dummyfunction("""COMPUTED_VALUE"""),0)</f>
        <v>0</v>
      </c>
      <c r="H73" s="70" t="n">
        <f aca="false">IFERROR(__xludf.dummyfunction("""COMPUTED_VALUE"""),9334)</f>
        <v>9334</v>
      </c>
      <c r="I73" s="70" t="n">
        <f aca="false">IFERROR(__xludf.dummyfunction("""COMPUTED_VALUE"""),0)</f>
        <v>0</v>
      </c>
      <c r="J73" s="70" t="n">
        <f aca="false">IFERROR(__xludf.dummyfunction("""COMPUTED_VALUE"""),283)</f>
        <v>283</v>
      </c>
      <c r="K73" s="70" t="n">
        <f aca="false">IFERROR(__xludf.dummyfunction("""COMPUTED_VALUE"""),0)</f>
        <v>0</v>
      </c>
      <c r="L73" s="70" t="n">
        <f aca="false">IFERROR(__xludf.dummyfunction("""COMPUTED_VALUE"""),104821)</f>
        <v>104821</v>
      </c>
      <c r="M73" s="70" t="n">
        <f aca="false">IFERROR(__xludf.dummyfunction("""COMPUTED_VALUE"""),14526)</f>
        <v>14526</v>
      </c>
      <c r="N73" s="70" t="n">
        <f aca="false">IFERROR(__xludf.dummyfunction("""COMPUTED_VALUE"""),1749)</f>
        <v>1749</v>
      </c>
      <c r="O73" s="70" t="n">
        <f aca="false">IFERROR(__xludf.dummyfunction("""COMPUTED_VALUE"""),424)</f>
        <v>424</v>
      </c>
      <c r="P73" s="70" t="n">
        <f aca="false">IFERROR(__xludf.dummyfunction("""COMPUTED_VALUE"""),5261)</f>
        <v>5261</v>
      </c>
      <c r="Q73" s="70" t="n">
        <f aca="false">IFERROR(__xludf.dummyfunction("""COMPUTED_VALUE"""),2583)</f>
        <v>2583</v>
      </c>
      <c r="R73" s="70" t="n">
        <f aca="false">IFERROR(__xludf.dummyfunction("""COMPUTED_VALUE"""),3685)</f>
        <v>3685</v>
      </c>
      <c r="S73" s="70" t="n">
        <f aca="false">IFERROR(__xludf.dummyfunction("""COMPUTED_VALUE"""),4032)</f>
        <v>4032</v>
      </c>
      <c r="T73" s="70" t="n">
        <f aca="false">IFERROR(__xludf.dummyfunction("""COMPUTED_VALUE"""),2155)</f>
        <v>2155</v>
      </c>
      <c r="U73" s="70" t="n">
        <f aca="false">IFERROR(__xludf.dummyfunction("""COMPUTED_VALUE"""),1451)</f>
        <v>1451</v>
      </c>
      <c r="V73" s="70" t="n">
        <f aca="false">IFERROR(__xludf.dummyfunction("""COMPUTED_VALUE"""),0)</f>
        <v>0</v>
      </c>
      <c r="W73" s="70" t="n">
        <f aca="false">IFERROR(__xludf.dummyfunction("""COMPUTED_VALUE"""),0)</f>
        <v>0</v>
      </c>
      <c r="X73" s="70" t="n">
        <f aca="false">IFERROR(__xludf.dummyfunction("""COMPUTED_VALUE"""),0)</f>
        <v>0</v>
      </c>
      <c r="Y73" s="70" t="n">
        <f aca="false">IFERROR(__xludf.dummyfunction("""COMPUTED_VALUE"""),941)</f>
        <v>941</v>
      </c>
      <c r="Z73" s="70" t="n">
        <f aca="false">IFERROR(__xludf.dummyfunction("""COMPUTED_VALUE"""),2949)</f>
        <v>2949</v>
      </c>
      <c r="AA73" s="70" t="n">
        <f aca="false">IFERROR(__xludf.dummyfunction("""COMPUTED_VALUE"""),13632)</f>
        <v>13632</v>
      </c>
      <c r="AB73" s="70" t="n">
        <f aca="false">IFERROR(__xludf.dummyfunction("""COMPUTED_VALUE"""),2721)</f>
        <v>2721</v>
      </c>
      <c r="AC73" s="70" t="n">
        <f aca="false">IFERROR(__xludf.dummyfunction("""COMPUTED_VALUE"""),441)</f>
        <v>441</v>
      </c>
      <c r="AD73" s="70" t="n">
        <f aca="false">IFERROR(__xludf.dummyfunction("""COMPUTED_VALUE"""),3241)</f>
        <v>3241</v>
      </c>
      <c r="AE73" s="70" t="n">
        <f aca="false">IFERROR(__xludf.dummyfunction("""COMPUTED_VALUE"""),1282)</f>
        <v>1282</v>
      </c>
      <c r="AF73" s="70" t="n">
        <f aca="false">IFERROR(__xludf.dummyfunction("""COMPUTED_VALUE"""),0)</f>
        <v>0</v>
      </c>
      <c r="AG73" s="70" t="n">
        <f aca="false">IFERROR(__xludf.dummyfunction("""COMPUTED_VALUE"""),0)</f>
        <v>0</v>
      </c>
      <c r="AH73" s="70" t="n">
        <f aca="false">IFERROR(__xludf.dummyfunction("""COMPUTED_VALUE"""),1)</f>
        <v>1</v>
      </c>
      <c r="AI73" s="70" t="n">
        <f aca="false">IFERROR(__xludf.dummyfunction("""COMPUTED_VALUE"""),0)</f>
        <v>0</v>
      </c>
      <c r="AJ73" s="70" t="n">
        <f aca="false">IFERROR(__xludf.dummyfunction("""COMPUTED_VALUE"""),65958)</f>
        <v>65958</v>
      </c>
      <c r="AK73" s="70" t="n">
        <f aca="false">IFERROR(__xludf.dummyfunction("""COMPUTED_VALUE"""),20)</f>
        <v>20</v>
      </c>
      <c r="AL73" s="70" t="n">
        <f aca="false">IFERROR(__xludf.dummyfunction("""COMPUTED_VALUE"""),46547)</f>
        <v>46547</v>
      </c>
      <c r="AM73" s="70" t="n">
        <f aca="false">IFERROR(__xludf.dummyfunction("""COMPUTED_VALUE"""),228)</f>
        <v>228</v>
      </c>
      <c r="AN73" s="70" t="n">
        <f aca="false">IFERROR(__xludf.dummyfunction("""COMPUTED_VALUE"""),815)</f>
        <v>815</v>
      </c>
      <c r="AO73" s="70" t="n">
        <f aca="false">IFERROR(__xludf.dummyfunction("""COMPUTED_VALUE"""),7566)</f>
        <v>7566</v>
      </c>
      <c r="AP73" s="70" t="n">
        <f aca="false">IFERROR(__xludf.dummyfunction("""COMPUTED_VALUE"""),0)</f>
        <v>0</v>
      </c>
      <c r="AQ73" s="70" t="n">
        <f aca="false">IFERROR(__xludf.dummyfunction("""COMPUTED_VALUE"""),6748)</f>
        <v>6748</v>
      </c>
      <c r="AR73" s="70" t="n">
        <f aca="false">IFERROR(__xludf.dummyfunction("""COMPUTED_VALUE"""),4005)</f>
        <v>4005</v>
      </c>
      <c r="AS73" s="70" t="n">
        <f aca="false">IFERROR(__xludf.dummyfunction("""COMPUTED_VALUE"""),98474)</f>
        <v>98474</v>
      </c>
      <c r="AT73" s="70" t="n">
        <f aca="false">IFERROR(__xludf.dummyfunction("""COMPUTED_VALUE"""),6897)</f>
        <v>6897</v>
      </c>
      <c r="AU73" s="70" t="n">
        <f aca="false">IFERROR(__xludf.dummyfunction("""COMPUTED_VALUE"""),0)</f>
        <v>0</v>
      </c>
      <c r="AV73" s="70" t="n">
        <f aca="false">IFERROR(__xludf.dummyfunction("""COMPUTED_VALUE"""),0)</f>
        <v>0</v>
      </c>
      <c r="AW73" s="70" t="n">
        <f aca="false">IFERROR(__xludf.dummyfunction("""COMPUTED_VALUE"""),2159)</f>
        <v>2159</v>
      </c>
      <c r="AX73" s="70" t="n">
        <f aca="false">IFERROR(__xludf.dummyfunction("""COMPUTED_VALUE"""),6775)</f>
        <v>6775</v>
      </c>
      <c r="AY73" s="70" t="n">
        <f aca="false">IFERROR(__xludf.dummyfunction("""COMPUTED_VALUE"""),3582)</f>
        <v>3582</v>
      </c>
      <c r="AZ73" s="70" t="n">
        <f aca="false">IFERROR(__xludf.dummyfunction("""COMPUTED_VALUE"""),787)</f>
        <v>787</v>
      </c>
      <c r="BA73" s="70" t="n">
        <f aca="false">IFERROR(__xludf.dummyfunction("""COMPUTED_VALUE"""),1839)</f>
        <v>1839</v>
      </c>
    </row>
    <row r="74" customFormat="false" ht="15.75" hidden="false" customHeight="false" outlineLevel="0" collapsed="false">
      <c r="A74" s="78" t="str">
        <f aca="false">IFERROR(__xludf.dummyfunction("""COMPUTED_VALUE"""),"pool_type")</f>
        <v>pool_type</v>
      </c>
      <c r="B74" s="72" t="n">
        <f aca="false">IFERROR(__xludf.dummyfunction("""COMPUTED_VALUE"""),53514)</f>
        <v>53514</v>
      </c>
      <c r="C74" s="73" t="n">
        <f aca="false">IFERROR(__xludf.dummyfunction("""COMPUTED_VALUE"""),1399)</f>
        <v>1399</v>
      </c>
      <c r="D74" s="70" t="n">
        <f aca="false">IFERROR(__xludf.dummyfunction("""COMPUTED_VALUE"""),7)</f>
        <v>7</v>
      </c>
      <c r="E74" s="70" t="n">
        <f aca="false">IFERROR(__xludf.dummyfunction("""COMPUTED_VALUE"""),483)</f>
        <v>483</v>
      </c>
      <c r="F74" s="70" t="n">
        <f aca="false">IFERROR(__xludf.dummyfunction("""COMPUTED_VALUE"""),235)</f>
        <v>235</v>
      </c>
      <c r="G74" s="70" t="n">
        <f aca="false">IFERROR(__xludf.dummyfunction("""COMPUTED_VALUE"""),4302)</f>
        <v>4302</v>
      </c>
      <c r="H74" s="70" t="n">
        <f aca="false">IFERROR(__xludf.dummyfunction("""COMPUTED_VALUE"""),1980)</f>
        <v>1980</v>
      </c>
      <c r="I74" s="70" t="n">
        <f aca="false">IFERROR(__xludf.dummyfunction("""COMPUTED_VALUE"""),731)</f>
        <v>731</v>
      </c>
      <c r="J74" s="70" t="n">
        <f aca="false">IFERROR(__xludf.dummyfunction("""COMPUTED_VALUE"""),14)</f>
        <v>14</v>
      </c>
      <c r="K74" s="70" t="n">
        <f aca="false">IFERROR(__xludf.dummyfunction("""COMPUTED_VALUE"""),0)</f>
        <v>0</v>
      </c>
      <c r="L74" s="70" t="n">
        <f aca="false">IFERROR(__xludf.dummyfunction("""COMPUTED_VALUE"""),8058)</f>
        <v>8058</v>
      </c>
      <c r="M74" s="70" t="n">
        <f aca="false">IFERROR(__xludf.dummyfunction("""COMPUTED_VALUE"""),5228)</f>
        <v>5228</v>
      </c>
      <c r="N74" s="70" t="n">
        <f aca="false">IFERROR(__xludf.dummyfunction("""COMPUTED_VALUE"""),224)</f>
        <v>224</v>
      </c>
      <c r="O74" s="70" t="n">
        <f aca="false">IFERROR(__xludf.dummyfunction("""COMPUTED_VALUE"""),57)</f>
        <v>57</v>
      </c>
      <c r="P74" s="70" t="n">
        <f aca="false">IFERROR(__xludf.dummyfunction("""COMPUTED_VALUE"""),254)</f>
        <v>254</v>
      </c>
      <c r="Q74" s="70" t="n">
        <f aca="false">IFERROR(__xludf.dummyfunction("""COMPUTED_VALUE"""),300)</f>
        <v>300</v>
      </c>
      <c r="R74" s="70" t="n">
        <f aca="false">IFERROR(__xludf.dummyfunction("""COMPUTED_VALUE"""),333)</f>
        <v>333</v>
      </c>
      <c r="S74" s="70" t="n">
        <f aca="false">IFERROR(__xludf.dummyfunction("""COMPUTED_VALUE"""),361)</f>
        <v>361</v>
      </c>
      <c r="T74" s="70" t="n">
        <f aca="false">IFERROR(__xludf.dummyfunction("""COMPUTED_VALUE"""),265)</f>
        <v>265</v>
      </c>
      <c r="U74" s="70" t="n">
        <f aca="false">IFERROR(__xludf.dummyfunction("""COMPUTED_VALUE"""),42)</f>
        <v>42</v>
      </c>
      <c r="V74" s="70" t="n">
        <f aca="false">IFERROR(__xludf.dummyfunction("""COMPUTED_VALUE"""),152)</f>
        <v>152</v>
      </c>
      <c r="W74" s="70" t="n">
        <f aca="false">IFERROR(__xludf.dummyfunction("""COMPUTED_VALUE"""),1233)</f>
        <v>1233</v>
      </c>
      <c r="X74" s="70" t="n">
        <f aca="false">IFERROR(__xludf.dummyfunction("""COMPUTED_VALUE"""),384)</f>
        <v>384</v>
      </c>
      <c r="Y74" s="70" t="n">
        <f aca="false">IFERROR(__xludf.dummyfunction("""COMPUTED_VALUE"""),86)</f>
        <v>86</v>
      </c>
      <c r="Z74" s="70" t="n">
        <f aca="false">IFERROR(__xludf.dummyfunction("""COMPUTED_VALUE"""),189)</f>
        <v>189</v>
      </c>
      <c r="AA74" s="70" t="n">
        <f aca="false">IFERROR(__xludf.dummyfunction("""COMPUTED_VALUE"""),493)</f>
        <v>493</v>
      </c>
      <c r="AB74" s="70" t="n">
        <f aca="false">IFERROR(__xludf.dummyfunction("""COMPUTED_VALUE"""),259)</f>
        <v>259</v>
      </c>
      <c r="AC74" s="70" t="n">
        <f aca="false">IFERROR(__xludf.dummyfunction("""COMPUTED_VALUE"""),173)</f>
        <v>173</v>
      </c>
      <c r="AD74" s="70" t="n">
        <f aca="false">IFERROR(__xludf.dummyfunction("""COMPUTED_VALUE"""),194)</f>
        <v>194</v>
      </c>
      <c r="AE74" s="70" t="n">
        <f aca="false">IFERROR(__xludf.dummyfunction("""COMPUTED_VALUE"""),110)</f>
        <v>110</v>
      </c>
      <c r="AF74" s="70" t="n">
        <f aca="false">IFERROR(__xludf.dummyfunction("""COMPUTED_VALUE"""),159)</f>
        <v>159</v>
      </c>
      <c r="AG74" s="70" t="n">
        <f aca="false">IFERROR(__xludf.dummyfunction("""COMPUTED_VALUE"""),410)</f>
        <v>410</v>
      </c>
      <c r="AH74" s="70" t="n">
        <f aca="false">IFERROR(__xludf.dummyfunction("""COMPUTED_VALUE"""),36)</f>
        <v>36</v>
      </c>
      <c r="AI74" s="70" t="n">
        <f aca="false">IFERROR(__xludf.dummyfunction("""COMPUTED_VALUE"""),5356)</f>
        <v>5356</v>
      </c>
      <c r="AJ74" s="70" t="n">
        <f aca="false">IFERROR(__xludf.dummyfunction("""COMPUTED_VALUE"""),1800)</f>
        <v>1800</v>
      </c>
      <c r="AK74" s="70" t="n">
        <f aca="false">IFERROR(__xludf.dummyfunction("""COMPUTED_VALUE"""),3)</f>
        <v>3</v>
      </c>
      <c r="AL74" s="70" t="n">
        <f aca="false">IFERROR(__xludf.dummyfunction("""COMPUTED_VALUE"""),3337)</f>
        <v>3337</v>
      </c>
      <c r="AM74" s="70" t="n">
        <f aca="false">IFERROR(__xludf.dummyfunction("""COMPUTED_VALUE"""),615)</f>
        <v>615</v>
      </c>
      <c r="AN74" s="70" t="n">
        <f aca="false">IFERROR(__xludf.dummyfunction("""COMPUTED_VALUE"""),167)</f>
        <v>167</v>
      </c>
      <c r="AO74" s="70" t="n">
        <f aca="false">IFERROR(__xludf.dummyfunction("""COMPUTED_VALUE"""),3050)</f>
        <v>3050</v>
      </c>
      <c r="AP74" s="70" t="n">
        <f aca="false">IFERROR(__xludf.dummyfunction("""COMPUTED_VALUE"""),129)</f>
        <v>129</v>
      </c>
      <c r="AQ74" s="70" t="n">
        <f aca="false">IFERROR(__xludf.dummyfunction("""COMPUTED_VALUE"""),1101)</f>
        <v>1101</v>
      </c>
      <c r="AR74" s="70" t="n">
        <f aca="false">IFERROR(__xludf.dummyfunction("""COMPUTED_VALUE"""),14)</f>
        <v>14</v>
      </c>
      <c r="AS74" s="70" t="n">
        <f aca="false">IFERROR(__xludf.dummyfunction("""COMPUTED_VALUE"""),1504)</f>
        <v>1504</v>
      </c>
      <c r="AT74" s="70" t="n">
        <f aca="false">IFERROR(__xludf.dummyfunction("""COMPUTED_VALUE"""),5872)</f>
        <v>5872</v>
      </c>
      <c r="AU74" s="70" t="n">
        <f aca="false">IFERROR(__xludf.dummyfunction("""COMPUTED_VALUE"""),278)</f>
        <v>278</v>
      </c>
      <c r="AV74" s="70" t="n">
        <f aca="false">IFERROR(__xludf.dummyfunction("""COMPUTED_VALUE"""),9)</f>
        <v>9</v>
      </c>
      <c r="AW74" s="70" t="n">
        <f aca="false">IFERROR(__xludf.dummyfunction("""COMPUTED_VALUE"""),1435)</f>
        <v>1435</v>
      </c>
      <c r="AX74" s="70" t="n">
        <f aca="false">IFERROR(__xludf.dummyfunction("""COMPUTED_VALUE"""),521)</f>
        <v>521</v>
      </c>
      <c r="AY74" s="70" t="n">
        <f aca="false">IFERROR(__xludf.dummyfunction("""COMPUTED_VALUE"""),112)</f>
        <v>112</v>
      </c>
      <c r="AZ74" s="70" t="n">
        <f aca="false">IFERROR(__xludf.dummyfunction("""COMPUTED_VALUE"""),11)</f>
        <v>11</v>
      </c>
      <c r="BA74" s="70" t="n">
        <f aca="false">IFERROR(__xludf.dummyfunction("""COMPUTED_VALUE"""),49)</f>
        <v>49</v>
      </c>
    </row>
    <row r="75" customFormat="false" ht="15.75" hidden="false" customHeight="false" outlineLevel="0" collapsed="false">
      <c r="A75" s="78" t="str">
        <f aca="false">IFERROR(__xludf.dummyfunction("""COMPUTED_VALUE"""),"quality")</f>
        <v>quality</v>
      </c>
      <c r="B75" s="72" t="n">
        <f aca="false">IFERROR(__xludf.dummyfunction("""COMPUTED_VALUE"""),1644359)</f>
        <v>1644359</v>
      </c>
      <c r="C75" s="73" t="n">
        <f aca="false">IFERROR(__xludf.dummyfunction("""COMPUTED_VALUE"""),18123)</f>
        <v>18123</v>
      </c>
      <c r="D75" s="70" t="n">
        <f aca="false">IFERROR(__xludf.dummyfunction("""COMPUTED_VALUE"""),8360)</f>
        <v>8360</v>
      </c>
      <c r="E75" s="70" t="n">
        <f aca="false">IFERROR(__xludf.dummyfunction("""COMPUTED_VALUE"""),87148)</f>
        <v>87148</v>
      </c>
      <c r="F75" s="70" t="n">
        <f aca="false">IFERROR(__xludf.dummyfunction("""COMPUTED_VALUE"""),2667)</f>
        <v>2667</v>
      </c>
      <c r="G75" s="70" t="n">
        <f aca="false">IFERROR(__xludf.dummyfunction("""COMPUTED_VALUE"""),211893)</f>
        <v>211893</v>
      </c>
      <c r="H75" s="70" t="n">
        <f aca="false">IFERROR(__xludf.dummyfunction("""COMPUTED_VALUE"""),97984)</f>
        <v>97984</v>
      </c>
      <c r="I75" s="70" t="n">
        <f aca="false">IFERROR(__xludf.dummyfunction("""COMPUTED_VALUE"""),0)</f>
        <v>0</v>
      </c>
      <c r="J75" s="70" t="n">
        <f aca="false">IFERROR(__xludf.dummyfunction("""COMPUTED_VALUE"""),0)</f>
        <v>0</v>
      </c>
      <c r="K75" s="70" t="n">
        <f aca="false">IFERROR(__xludf.dummyfunction("""COMPUTED_VALUE"""),12791)</f>
        <v>12791</v>
      </c>
      <c r="L75" s="70" t="n">
        <f aca="false">IFERROR(__xludf.dummyfunction("""COMPUTED_VALUE"""),276309)</f>
        <v>276309</v>
      </c>
      <c r="M75" s="70" t="n">
        <f aca="false">IFERROR(__xludf.dummyfunction("""COMPUTED_VALUE"""),31613)</f>
        <v>31613</v>
      </c>
      <c r="N75" s="70" t="n">
        <f aca="false">IFERROR(__xludf.dummyfunction("""COMPUTED_VALUE"""),13181)</f>
        <v>13181</v>
      </c>
      <c r="O75" s="70" t="n">
        <f aca="false">IFERROR(__xludf.dummyfunction("""COMPUTED_VALUE"""),380)</f>
        <v>380</v>
      </c>
      <c r="P75" s="70" t="n">
        <f aca="false">IFERROR(__xludf.dummyfunction("""COMPUTED_VALUE"""),6674)</f>
        <v>6674</v>
      </c>
      <c r="Q75" s="70" t="n">
        <f aca="false">IFERROR(__xludf.dummyfunction("""COMPUTED_VALUE"""),0)</f>
        <v>0</v>
      </c>
      <c r="R75" s="70" t="n">
        <f aca="false">IFERROR(__xludf.dummyfunction("""COMPUTED_VALUE"""),34)</f>
        <v>34</v>
      </c>
      <c r="S75" s="70" t="n">
        <f aca="false">IFERROR(__xludf.dummyfunction("""COMPUTED_VALUE"""),3700)</f>
        <v>3700</v>
      </c>
      <c r="T75" s="70" t="n">
        <f aca="false">IFERROR(__xludf.dummyfunction("""COMPUTED_VALUE"""),30968)</f>
        <v>30968</v>
      </c>
      <c r="U75" s="70" t="n">
        <f aca="false">IFERROR(__xludf.dummyfunction("""COMPUTED_VALUE"""),23412)</f>
        <v>23412</v>
      </c>
      <c r="V75" s="70" t="n">
        <f aca="false">IFERROR(__xludf.dummyfunction("""COMPUTED_VALUE"""),0)</f>
        <v>0</v>
      </c>
      <c r="W75" s="70" t="n">
        <f aca="false">IFERROR(__xludf.dummyfunction("""COMPUTED_VALUE"""),66259)</f>
        <v>66259</v>
      </c>
      <c r="X75" s="70" t="n">
        <f aca="false">IFERROR(__xludf.dummyfunction("""COMPUTED_VALUE"""),0)</f>
        <v>0</v>
      </c>
      <c r="Y75" s="70" t="n">
        <f aca="false">IFERROR(__xludf.dummyfunction("""COMPUTED_VALUE"""),2149)</f>
        <v>2149</v>
      </c>
      <c r="Z75" s="70" t="n">
        <f aca="false">IFERROR(__xludf.dummyfunction("""COMPUTED_VALUE"""),24051)</f>
        <v>24051</v>
      </c>
      <c r="AA75" s="70" t="n">
        <f aca="false">IFERROR(__xludf.dummyfunction("""COMPUTED_VALUE"""),41298)</f>
        <v>41298</v>
      </c>
      <c r="AB75" s="70" t="n">
        <f aca="false">IFERROR(__xludf.dummyfunction("""COMPUTED_VALUE"""),35374)</f>
        <v>35374</v>
      </c>
      <c r="AC75" s="70" t="n">
        <f aca="false">IFERROR(__xludf.dummyfunction("""COMPUTED_VALUE"""),0)</f>
        <v>0</v>
      </c>
      <c r="AD75" s="70" t="n">
        <f aca="false">IFERROR(__xludf.dummyfunction("""COMPUTED_VALUE"""),37654)</f>
        <v>37654</v>
      </c>
      <c r="AE75" s="70" t="n">
        <f aca="false">IFERROR(__xludf.dummyfunction("""COMPUTED_VALUE"""),7206)</f>
        <v>7206</v>
      </c>
      <c r="AF75" s="70" t="n">
        <f aca="false">IFERROR(__xludf.dummyfunction("""COMPUTED_VALUE"""),0)</f>
        <v>0</v>
      </c>
      <c r="AG75" s="70" t="n">
        <f aca="false">IFERROR(__xludf.dummyfunction("""COMPUTED_VALUE"""),0)</f>
        <v>0</v>
      </c>
      <c r="AH75" s="70" t="n">
        <f aca="false">IFERROR(__xludf.dummyfunction("""COMPUTED_VALUE"""),4878)</f>
        <v>4878</v>
      </c>
      <c r="AI75" s="70" t="n">
        <f aca="false">IFERROR(__xludf.dummyfunction("""COMPUTED_VALUE"""),14384)</f>
        <v>14384</v>
      </c>
      <c r="AJ75" s="70" t="n">
        <f aca="false">IFERROR(__xludf.dummyfunction("""COMPUTED_VALUE"""),77545)</f>
        <v>77545</v>
      </c>
      <c r="AK75" s="70" t="n">
        <f aca="false">IFERROR(__xludf.dummyfunction("""COMPUTED_VALUE"""),0)</f>
        <v>0</v>
      </c>
      <c r="AL75" s="70" t="n">
        <f aca="false">IFERROR(__xludf.dummyfunction("""COMPUTED_VALUE"""),18470)</f>
        <v>18470</v>
      </c>
      <c r="AM75" s="70" t="n">
        <f aca="false">IFERROR(__xludf.dummyfunction("""COMPUTED_VALUE"""),92091)</f>
        <v>92091</v>
      </c>
      <c r="AN75" s="70" t="n">
        <f aca="false">IFERROR(__xludf.dummyfunction("""COMPUTED_VALUE"""),48)</f>
        <v>48</v>
      </c>
      <c r="AO75" s="70" t="n">
        <f aca="false">IFERROR(__xludf.dummyfunction("""COMPUTED_VALUE"""),21191)</f>
        <v>21191</v>
      </c>
      <c r="AP75" s="70" t="n">
        <f aca="false">IFERROR(__xludf.dummyfunction("""COMPUTED_VALUE"""),0)</f>
        <v>0</v>
      </c>
      <c r="AQ75" s="70" t="n">
        <f aca="false">IFERROR(__xludf.dummyfunction("""COMPUTED_VALUE"""),3822)</f>
        <v>3822</v>
      </c>
      <c r="AR75" s="70" t="n">
        <f aca="false">IFERROR(__xludf.dummyfunction("""COMPUTED_VALUE"""),5453)</f>
        <v>5453</v>
      </c>
      <c r="AS75" s="70" t="n">
        <f aca="false">IFERROR(__xludf.dummyfunction("""COMPUTED_VALUE"""),101648)</f>
        <v>101648</v>
      </c>
      <c r="AT75" s="70" t="n">
        <f aca="false">IFERROR(__xludf.dummyfunction("""COMPUTED_VALUE"""),117572)</f>
        <v>117572</v>
      </c>
      <c r="AU75" s="70" t="n">
        <f aca="false">IFERROR(__xludf.dummyfunction("""COMPUTED_VALUE"""),15611)</f>
        <v>15611</v>
      </c>
      <c r="AV75" s="70" t="n">
        <f aca="false">IFERROR(__xludf.dummyfunction("""COMPUTED_VALUE"""),0)</f>
        <v>0</v>
      </c>
      <c r="AW75" s="70" t="n">
        <f aca="false">IFERROR(__xludf.dummyfunction("""COMPUTED_VALUE"""),16633)</f>
        <v>16633</v>
      </c>
      <c r="AX75" s="70" t="n">
        <f aca="false">IFERROR(__xludf.dummyfunction("""COMPUTED_VALUE"""),95850)</f>
        <v>95850</v>
      </c>
      <c r="AY75" s="70" t="n">
        <f aca="false">IFERROR(__xludf.dummyfunction("""COMPUTED_VALUE"""),0)</f>
        <v>0</v>
      </c>
      <c r="AZ75" s="70" t="n">
        <f aca="false">IFERROR(__xludf.dummyfunction("""COMPUTED_VALUE"""),1863)</f>
        <v>1863</v>
      </c>
      <c r="BA75" s="70" t="n">
        <f aca="false">IFERROR(__xludf.dummyfunction("""COMPUTED_VALUE"""),18072)</f>
        <v>18072</v>
      </c>
    </row>
    <row r="76" customFormat="false" ht="15.75" hidden="false" customHeight="false" outlineLevel="0" collapsed="false">
      <c r="A76" s="78" t="str">
        <f aca="false">IFERROR(__xludf.dummyfunction("""COMPUTED_VALUE"""),"roof_material_type")</f>
        <v>roof_material_type</v>
      </c>
      <c r="B76" s="72" t="n">
        <f aca="false">IFERROR(__xludf.dummyfunction("""COMPUTED_VALUE"""),1686237)</f>
        <v>1686237</v>
      </c>
      <c r="C76" s="73" t="n">
        <f aca="false">IFERROR(__xludf.dummyfunction("""COMPUTED_VALUE"""),103642)</f>
        <v>103642</v>
      </c>
      <c r="D76" s="70" t="n">
        <f aca="false">IFERROR(__xludf.dummyfunction("""COMPUTED_VALUE"""),337)</f>
        <v>337</v>
      </c>
      <c r="E76" s="70" t="n">
        <f aca="false">IFERROR(__xludf.dummyfunction("""COMPUTED_VALUE"""),43851)</f>
        <v>43851</v>
      </c>
      <c r="F76" s="70" t="n">
        <f aca="false">IFERROR(__xludf.dummyfunction("""COMPUTED_VALUE"""),76095)</f>
        <v>76095</v>
      </c>
      <c r="G76" s="70" t="n">
        <f aca="false">IFERROR(__xludf.dummyfunction("""COMPUTED_VALUE"""),83300)</f>
        <v>83300</v>
      </c>
      <c r="H76" s="70" t="n">
        <f aca="false">IFERROR(__xludf.dummyfunction("""COMPUTED_VALUE"""),27455)</f>
        <v>27455</v>
      </c>
      <c r="I76" s="70" t="n">
        <f aca="false">IFERROR(__xludf.dummyfunction("""COMPUTED_VALUE"""),43049)</f>
        <v>43049</v>
      </c>
      <c r="J76" s="70" t="n">
        <f aca="false">IFERROR(__xludf.dummyfunction("""COMPUTED_VALUE"""),135)</f>
        <v>135</v>
      </c>
      <c r="K76" s="70" t="n">
        <f aca="false">IFERROR(__xludf.dummyfunction("""COMPUTED_VALUE"""),9143)</f>
        <v>9143</v>
      </c>
      <c r="L76" s="70" t="n">
        <f aca="false">IFERROR(__xludf.dummyfunction("""COMPUTED_VALUE"""),223964)</f>
        <v>223964</v>
      </c>
      <c r="M76" s="70" t="n">
        <f aca="false">IFERROR(__xludf.dummyfunction("""COMPUTED_VALUE"""),52077)</f>
        <v>52077</v>
      </c>
      <c r="N76" s="70" t="n">
        <f aca="false">IFERROR(__xludf.dummyfunction("""COMPUTED_VALUE"""),1080)</f>
        <v>1080</v>
      </c>
      <c r="O76" s="70" t="n">
        <f aca="false">IFERROR(__xludf.dummyfunction("""COMPUTED_VALUE"""),6775)</f>
        <v>6775</v>
      </c>
      <c r="P76" s="70" t="n">
        <f aca="false">IFERROR(__xludf.dummyfunction("""COMPUTED_VALUE"""),41118)</f>
        <v>41118</v>
      </c>
      <c r="Q76" s="70" t="n">
        <f aca="false">IFERROR(__xludf.dummyfunction("""COMPUTED_VALUE"""),2386)</f>
        <v>2386</v>
      </c>
      <c r="R76" s="70" t="n">
        <f aca="false">IFERROR(__xludf.dummyfunction("""COMPUTED_VALUE"""),13406)</f>
        <v>13406</v>
      </c>
      <c r="S76" s="70" t="n">
        <f aca="false">IFERROR(__xludf.dummyfunction("""COMPUTED_VALUE"""),7265)</f>
        <v>7265</v>
      </c>
      <c r="T76" s="70" t="n">
        <f aca="false">IFERROR(__xludf.dummyfunction("""COMPUTED_VALUE"""),31543)</f>
        <v>31543</v>
      </c>
      <c r="U76" s="70" t="n">
        <f aca="false">IFERROR(__xludf.dummyfunction("""COMPUTED_VALUE"""),6820)</f>
        <v>6820</v>
      </c>
      <c r="V76" s="70" t="n">
        <f aca="false">IFERROR(__xludf.dummyfunction("""COMPUTED_VALUE"""),10659)</f>
        <v>10659</v>
      </c>
      <c r="W76" s="70" t="n">
        <f aca="false">IFERROR(__xludf.dummyfunction("""COMPUTED_VALUE"""),18450)</f>
        <v>18450</v>
      </c>
      <c r="X76" s="70" t="n">
        <f aca="false">IFERROR(__xludf.dummyfunction("""COMPUTED_VALUE"""),83651)</f>
        <v>83651</v>
      </c>
      <c r="Y76" s="70" t="n">
        <f aca="false">IFERROR(__xludf.dummyfunction("""COMPUTED_VALUE"""),3499)</f>
        <v>3499</v>
      </c>
      <c r="Z76" s="70" t="n">
        <f aca="false">IFERROR(__xludf.dummyfunction("""COMPUTED_VALUE"""),34216)</f>
        <v>34216</v>
      </c>
      <c r="AA76" s="70" t="n">
        <f aca="false">IFERROR(__xludf.dummyfunction("""COMPUTED_VALUE"""),52248)</f>
        <v>52248</v>
      </c>
      <c r="AB76" s="70" t="n">
        <f aca="false">IFERROR(__xludf.dummyfunction("""COMPUTED_VALUE"""),19104)</f>
        <v>19104</v>
      </c>
      <c r="AC76" s="70" t="n">
        <f aca="false">IFERROR(__xludf.dummyfunction("""COMPUTED_VALUE"""),863)</f>
        <v>863</v>
      </c>
      <c r="AD76" s="70" t="n">
        <f aca="false">IFERROR(__xludf.dummyfunction("""COMPUTED_VALUE"""),10676)</f>
        <v>10676</v>
      </c>
      <c r="AE76" s="70" t="n">
        <f aca="false">IFERROR(__xludf.dummyfunction("""COMPUTED_VALUE"""),2645)</f>
        <v>2645</v>
      </c>
      <c r="AF76" s="70" t="n">
        <f aca="false">IFERROR(__xludf.dummyfunction("""COMPUTED_VALUE"""),23486)</f>
        <v>23486</v>
      </c>
      <c r="AG76" s="70" t="n">
        <f aca="false">IFERROR(__xludf.dummyfunction("""COMPUTED_VALUE"""),2540)</f>
        <v>2540</v>
      </c>
      <c r="AH76" s="70" t="n">
        <f aca="false">IFERROR(__xludf.dummyfunction("""COMPUTED_VALUE"""),368)</f>
        <v>368</v>
      </c>
      <c r="AI76" s="70" t="n">
        <f aca="false">IFERROR(__xludf.dummyfunction("""COMPUTED_VALUE"""),877)</f>
        <v>877</v>
      </c>
      <c r="AJ76" s="70" t="n">
        <f aca="false">IFERROR(__xludf.dummyfunction("""COMPUTED_VALUE"""),107973)</f>
        <v>107973</v>
      </c>
      <c r="AK76" s="70" t="n">
        <f aca="false">IFERROR(__xludf.dummyfunction("""COMPUTED_VALUE"""),64)</f>
        <v>64</v>
      </c>
      <c r="AL76" s="70" t="n">
        <f aca="false">IFERROR(__xludf.dummyfunction("""COMPUTED_VALUE"""),46928)</f>
        <v>46928</v>
      </c>
      <c r="AM76" s="70" t="n">
        <f aca="false">IFERROR(__xludf.dummyfunction("""COMPUTED_VALUE"""),50281)</f>
        <v>50281</v>
      </c>
      <c r="AN76" s="70" t="n">
        <f aca="false">IFERROR(__xludf.dummyfunction("""COMPUTED_VALUE"""),18246)</f>
        <v>18246</v>
      </c>
      <c r="AO76" s="70" t="n">
        <f aca="false">IFERROR(__xludf.dummyfunction("""COMPUTED_VALUE"""),16376)</f>
        <v>16376</v>
      </c>
      <c r="AP76" s="70" t="n">
        <f aca="false">IFERROR(__xludf.dummyfunction("""COMPUTED_VALUE"""),20064)</f>
        <v>20064</v>
      </c>
      <c r="AQ76" s="70" t="n">
        <f aca="false">IFERROR(__xludf.dummyfunction("""COMPUTED_VALUE"""),23959)</f>
        <v>23959</v>
      </c>
      <c r="AR76" s="70" t="n">
        <f aca="false">IFERROR(__xludf.dummyfunction("""COMPUTED_VALUE"""),5555)</f>
        <v>5555</v>
      </c>
      <c r="AS76" s="70" t="n">
        <f aca="false">IFERROR(__xludf.dummyfunction("""COMPUTED_VALUE"""),102968)</f>
        <v>102968</v>
      </c>
      <c r="AT76" s="70" t="n">
        <f aca="false">IFERROR(__xludf.dummyfunction("""COMPUTED_VALUE"""),157140)</f>
        <v>157140</v>
      </c>
      <c r="AU76" s="70" t="n">
        <f aca="false">IFERROR(__xludf.dummyfunction("""COMPUTED_VALUE"""),12557)</f>
        <v>12557</v>
      </c>
      <c r="AV76" s="70" t="n">
        <f aca="false">IFERROR(__xludf.dummyfunction("""COMPUTED_VALUE"""),2886)</f>
        <v>2886</v>
      </c>
      <c r="AW76" s="70" t="n">
        <f aca="false">IFERROR(__xludf.dummyfunction("""COMPUTED_VALUE"""),50300)</f>
        <v>50300</v>
      </c>
      <c r="AX76" s="70" t="n">
        <f aca="false">IFERROR(__xludf.dummyfunction("""COMPUTED_VALUE"""),26806)</f>
        <v>26806</v>
      </c>
      <c r="AY76" s="70" t="n">
        <f aca="false">IFERROR(__xludf.dummyfunction("""COMPUTED_VALUE"""),0)</f>
        <v>0</v>
      </c>
      <c r="AZ76" s="70" t="n">
        <f aca="false">IFERROR(__xludf.dummyfunction("""COMPUTED_VALUE"""),5335)</f>
        <v>5335</v>
      </c>
      <c r="BA76" s="70" t="n">
        <f aca="false">IFERROR(__xludf.dummyfunction("""COMPUTED_VALUE"""),2076)</f>
        <v>2076</v>
      </c>
    </row>
    <row r="77" customFormat="false" ht="15.75" hidden="false" customHeight="false" outlineLevel="0" collapsed="false">
      <c r="A77" s="78" t="str">
        <f aca="false">IFERROR(__xludf.dummyfunction("""COMPUTED_VALUE"""),"roof_style_type")</f>
        <v>roof_style_type</v>
      </c>
      <c r="B77" s="72" t="n">
        <f aca="false">IFERROR(__xludf.dummyfunction("""COMPUTED_VALUE"""),1283038)</f>
        <v>1283038</v>
      </c>
      <c r="C77" s="73" t="n">
        <f aca="false">IFERROR(__xludf.dummyfunction("""COMPUTED_VALUE"""),77219)</f>
        <v>77219</v>
      </c>
      <c r="D77" s="70" t="n">
        <f aca="false">IFERROR(__xludf.dummyfunction("""COMPUTED_VALUE"""),0)</f>
        <v>0</v>
      </c>
      <c r="E77" s="70" t="n">
        <f aca="false">IFERROR(__xludf.dummyfunction("""COMPUTED_VALUE"""),666)</f>
        <v>666</v>
      </c>
      <c r="F77" s="70" t="n">
        <f aca="false">IFERROR(__xludf.dummyfunction("""COMPUTED_VALUE"""),17698)</f>
        <v>17698</v>
      </c>
      <c r="G77" s="70" t="n">
        <f aca="false">IFERROR(__xludf.dummyfunction("""COMPUTED_VALUE"""),80547)</f>
        <v>80547</v>
      </c>
      <c r="H77" s="70" t="n">
        <f aca="false">IFERROR(__xludf.dummyfunction("""COMPUTED_VALUE"""),35620)</f>
        <v>35620</v>
      </c>
      <c r="I77" s="70" t="n">
        <f aca="false">IFERROR(__xludf.dummyfunction("""COMPUTED_VALUE"""),38371)</f>
        <v>38371</v>
      </c>
      <c r="J77" s="70" t="n">
        <f aca="false">IFERROR(__xludf.dummyfunction("""COMPUTED_VALUE"""),140)</f>
        <v>140</v>
      </c>
      <c r="K77" s="70" t="n">
        <f aca="false">IFERROR(__xludf.dummyfunction("""COMPUTED_VALUE"""),9611)</f>
        <v>9611</v>
      </c>
      <c r="L77" s="70" t="n">
        <f aca="false">IFERROR(__xludf.dummyfunction("""COMPUTED_VALUE"""),83720)</f>
        <v>83720</v>
      </c>
      <c r="M77" s="70" t="n">
        <f aca="false">IFERROR(__xludf.dummyfunction("""COMPUTED_VALUE"""),21376)</f>
        <v>21376</v>
      </c>
      <c r="N77" s="70" t="n">
        <f aca="false">IFERROR(__xludf.dummyfunction("""COMPUTED_VALUE"""),1091)</f>
        <v>1091</v>
      </c>
      <c r="O77" s="70" t="n">
        <f aca="false">IFERROR(__xludf.dummyfunction("""COMPUTED_VALUE"""),7821)</f>
        <v>7821</v>
      </c>
      <c r="P77" s="70" t="n">
        <f aca="false">IFERROR(__xludf.dummyfunction("""COMPUTED_VALUE"""),1357)</f>
        <v>1357</v>
      </c>
      <c r="Q77" s="70" t="n">
        <f aca="false">IFERROR(__xludf.dummyfunction("""COMPUTED_VALUE"""),42)</f>
        <v>42</v>
      </c>
      <c r="R77" s="70" t="n">
        <f aca="false">IFERROR(__xludf.dummyfunction("""COMPUTED_VALUE"""),10795)</f>
        <v>10795</v>
      </c>
      <c r="S77" s="70" t="n">
        <f aca="false">IFERROR(__xludf.dummyfunction("""COMPUTED_VALUE"""),0)</f>
        <v>0</v>
      </c>
      <c r="T77" s="70" t="n">
        <f aca="false">IFERROR(__xludf.dummyfunction("""COMPUTED_VALUE"""),29992)</f>
        <v>29992</v>
      </c>
      <c r="U77" s="70" t="n">
        <f aca="false">IFERROR(__xludf.dummyfunction("""COMPUTED_VALUE"""),18)</f>
        <v>18</v>
      </c>
      <c r="V77" s="70" t="n">
        <f aca="false">IFERROR(__xludf.dummyfunction("""COMPUTED_VALUE"""),8854)</f>
        <v>8854</v>
      </c>
      <c r="W77" s="70" t="n">
        <f aca="false">IFERROR(__xludf.dummyfunction("""COMPUTED_VALUE"""),13282)</f>
        <v>13282</v>
      </c>
      <c r="X77" s="70" t="n">
        <f aca="false">IFERROR(__xludf.dummyfunction("""COMPUTED_VALUE"""),80012)</f>
        <v>80012</v>
      </c>
      <c r="Y77" s="70" t="n">
        <f aca="false">IFERROR(__xludf.dummyfunction("""COMPUTED_VALUE"""),3027)</f>
        <v>3027</v>
      </c>
      <c r="Z77" s="70" t="n">
        <f aca="false">IFERROR(__xludf.dummyfunction("""COMPUTED_VALUE"""),36889)</f>
        <v>36889</v>
      </c>
      <c r="AA77" s="70" t="n">
        <f aca="false">IFERROR(__xludf.dummyfunction("""COMPUTED_VALUE"""),40355)</f>
        <v>40355</v>
      </c>
      <c r="AB77" s="70" t="n">
        <f aca="false">IFERROR(__xludf.dummyfunction("""COMPUTED_VALUE"""),15963)</f>
        <v>15963</v>
      </c>
      <c r="AC77" s="70" t="n">
        <f aca="false">IFERROR(__xludf.dummyfunction("""COMPUTED_VALUE"""),1006)</f>
        <v>1006</v>
      </c>
      <c r="AD77" s="70" t="n">
        <f aca="false">IFERROR(__xludf.dummyfunction("""COMPUTED_VALUE"""),19960)</f>
        <v>19960</v>
      </c>
      <c r="AE77" s="70" t="n">
        <f aca="false">IFERROR(__xludf.dummyfunction("""COMPUTED_VALUE"""),2687)</f>
        <v>2687</v>
      </c>
      <c r="AF77" s="70" t="n">
        <f aca="false">IFERROR(__xludf.dummyfunction("""COMPUTED_VALUE"""),23224)</f>
        <v>23224</v>
      </c>
      <c r="AG77" s="70" t="n">
        <f aca="false">IFERROR(__xludf.dummyfunction("""COMPUTED_VALUE"""),2634)</f>
        <v>2634</v>
      </c>
      <c r="AH77" s="70" t="n">
        <f aca="false">IFERROR(__xludf.dummyfunction("""COMPUTED_VALUE"""),387)</f>
        <v>387</v>
      </c>
      <c r="AI77" s="70" t="n">
        <f aca="false">IFERROR(__xludf.dummyfunction("""COMPUTED_VALUE"""),0)</f>
        <v>0</v>
      </c>
      <c r="AJ77" s="70" t="n">
        <f aca="false">IFERROR(__xludf.dummyfunction("""COMPUTED_VALUE"""),75604)</f>
        <v>75604</v>
      </c>
      <c r="AK77" s="70" t="n">
        <f aca="false">IFERROR(__xludf.dummyfunction("""COMPUTED_VALUE"""),3)</f>
        <v>3</v>
      </c>
      <c r="AL77" s="70" t="n">
        <f aca="false">IFERROR(__xludf.dummyfunction("""COMPUTED_VALUE"""),39356)</f>
        <v>39356</v>
      </c>
      <c r="AM77" s="70" t="n">
        <f aca="false">IFERROR(__xludf.dummyfunction("""COMPUTED_VALUE"""),90906)</f>
        <v>90906</v>
      </c>
      <c r="AN77" s="70" t="n">
        <f aca="false">IFERROR(__xludf.dummyfunction("""COMPUTED_VALUE"""),16300)</f>
        <v>16300</v>
      </c>
      <c r="AO77" s="70" t="n">
        <f aca="false">IFERROR(__xludf.dummyfunction("""COMPUTED_VALUE"""),1855)</f>
        <v>1855</v>
      </c>
      <c r="AP77" s="70" t="n">
        <f aca="false">IFERROR(__xludf.dummyfunction("""COMPUTED_VALUE"""),19569)</f>
        <v>19569</v>
      </c>
      <c r="AQ77" s="70" t="n">
        <f aca="false">IFERROR(__xludf.dummyfunction("""COMPUTED_VALUE"""),20755)</f>
        <v>20755</v>
      </c>
      <c r="AR77" s="70" t="n">
        <f aca="false">IFERROR(__xludf.dummyfunction("""COMPUTED_VALUE"""),5947)</f>
        <v>5947</v>
      </c>
      <c r="AS77" s="70" t="n">
        <f aca="false">IFERROR(__xludf.dummyfunction("""COMPUTED_VALUE"""),65287)</f>
        <v>65287</v>
      </c>
      <c r="AT77" s="70" t="n">
        <f aca="false">IFERROR(__xludf.dummyfunction("""COMPUTED_VALUE"""),177710)</f>
        <v>177710</v>
      </c>
      <c r="AU77" s="70" t="n">
        <f aca="false">IFERROR(__xludf.dummyfunction("""COMPUTED_VALUE"""),17672)</f>
        <v>17672</v>
      </c>
      <c r="AV77" s="70" t="n">
        <f aca="false">IFERROR(__xludf.dummyfunction("""COMPUTED_VALUE"""),2602)</f>
        <v>2602</v>
      </c>
      <c r="AW77" s="70" t="n">
        <f aca="false">IFERROR(__xludf.dummyfunction("""COMPUTED_VALUE"""),51670)</f>
        <v>51670</v>
      </c>
      <c r="AX77" s="70" t="n">
        <f aca="false">IFERROR(__xludf.dummyfunction("""COMPUTED_VALUE"""),12753)</f>
        <v>12753</v>
      </c>
      <c r="AY77" s="70" t="n">
        <f aca="false">IFERROR(__xludf.dummyfunction("""COMPUTED_VALUE"""),0)</f>
        <v>0</v>
      </c>
      <c r="AZ77" s="70" t="n">
        <f aca="false">IFERROR(__xludf.dummyfunction("""COMPUTED_VALUE"""),3853)</f>
        <v>3853</v>
      </c>
      <c r="BA77" s="70" t="n">
        <f aca="false">IFERROR(__xludf.dummyfunction("""COMPUTED_VALUE"""),16832)</f>
        <v>16832</v>
      </c>
    </row>
    <row r="78" customFormat="false" ht="15.75" hidden="false" customHeight="false" outlineLevel="0" collapsed="false">
      <c r="A78" s="78" t="str">
        <f aca="false">IFERROR(__xludf.dummyfunction("""COMPUTED_VALUE"""),"sewer_type")</f>
        <v>sewer_type</v>
      </c>
      <c r="B78" s="72" t="n">
        <f aca="false">IFERROR(__xludf.dummyfunction("""COMPUTED_VALUE"""),3947888)</f>
        <v>3947888</v>
      </c>
      <c r="C78" s="73" t="n">
        <f aca="false">IFERROR(__xludf.dummyfunction("""COMPUTED_VALUE"""),54996)</f>
        <v>54996</v>
      </c>
      <c r="D78" s="70" t="n">
        <f aca="false">IFERROR(__xludf.dummyfunction("""COMPUTED_VALUE"""),3417)</f>
        <v>3417</v>
      </c>
      <c r="E78" s="70" t="n">
        <f aca="false">IFERROR(__xludf.dummyfunction("""COMPUTED_VALUE"""),128480)</f>
        <v>128480</v>
      </c>
      <c r="F78" s="70" t="n">
        <f aca="false">IFERROR(__xludf.dummyfunction("""COMPUTED_VALUE"""),0)</f>
        <v>0</v>
      </c>
      <c r="G78" s="70" t="n">
        <f aca="false">IFERROR(__xludf.dummyfunction("""COMPUTED_VALUE"""),226564)</f>
        <v>226564</v>
      </c>
      <c r="H78" s="70" t="n">
        <f aca="false">IFERROR(__xludf.dummyfunction("""COMPUTED_VALUE"""),16605)</f>
        <v>16605</v>
      </c>
      <c r="I78" s="70" t="n">
        <f aca="false">IFERROR(__xludf.dummyfunction("""COMPUTED_VALUE"""),4638)</f>
        <v>4638</v>
      </c>
      <c r="J78" s="70" t="n">
        <f aca="false">IFERROR(__xludf.dummyfunction("""COMPUTED_VALUE"""),13231)</f>
        <v>13231</v>
      </c>
      <c r="K78" s="70" t="n">
        <f aca="false">IFERROR(__xludf.dummyfunction("""COMPUTED_VALUE"""),0)</f>
        <v>0</v>
      </c>
      <c r="L78" s="70" t="n">
        <f aca="false">IFERROR(__xludf.dummyfunction("""COMPUTED_VALUE"""),5124)</f>
        <v>5124</v>
      </c>
      <c r="M78" s="70" t="n">
        <f aca="false">IFERROR(__xludf.dummyfunction("""COMPUTED_VALUE"""),240276)</f>
        <v>240276</v>
      </c>
      <c r="N78" s="70" t="n">
        <f aca="false">IFERROR(__xludf.dummyfunction("""COMPUTED_VALUE"""),0)</f>
        <v>0</v>
      </c>
      <c r="O78" s="70" t="n">
        <f aca="false">IFERROR(__xludf.dummyfunction("""COMPUTED_VALUE"""),2022)</f>
        <v>2022</v>
      </c>
      <c r="P78" s="70" t="n">
        <f aca="false">IFERROR(__xludf.dummyfunction("""COMPUTED_VALUE"""),6826)</f>
        <v>6826</v>
      </c>
      <c r="Q78" s="70" t="n">
        <f aca="false">IFERROR(__xludf.dummyfunction("""COMPUTED_VALUE"""),225114)</f>
        <v>225114</v>
      </c>
      <c r="R78" s="70" t="n">
        <f aca="false">IFERROR(__xludf.dummyfunction("""COMPUTED_VALUE"""),2817)</f>
        <v>2817</v>
      </c>
      <c r="S78" s="70" t="n">
        <f aca="false">IFERROR(__xludf.dummyfunction("""COMPUTED_VALUE"""),47886)</f>
        <v>47886</v>
      </c>
      <c r="T78" s="70" t="n">
        <f aca="false">IFERROR(__xludf.dummyfunction("""COMPUTED_VALUE"""),0)</f>
        <v>0</v>
      </c>
      <c r="U78" s="70" t="n">
        <f aca="false">IFERROR(__xludf.dummyfunction("""COMPUTED_VALUE"""),0)</f>
        <v>0</v>
      </c>
      <c r="V78" s="70" t="n">
        <f aca="false">IFERROR(__xludf.dummyfunction("""COMPUTED_VALUE"""),354)</f>
        <v>354</v>
      </c>
      <c r="W78" s="70" t="n">
        <f aca="false">IFERROR(__xludf.dummyfunction("""COMPUTED_VALUE"""),108333)</f>
        <v>108333</v>
      </c>
      <c r="X78" s="70" t="n">
        <f aca="false">IFERROR(__xludf.dummyfunction("""COMPUTED_VALUE"""),89)</f>
        <v>89</v>
      </c>
      <c r="Y78" s="70" t="n">
        <f aca="false">IFERROR(__xludf.dummyfunction("""COMPUTED_VALUE"""),53561)</f>
        <v>53561</v>
      </c>
      <c r="Z78" s="70" t="n">
        <f aca="false">IFERROR(__xludf.dummyfunction("""COMPUTED_VALUE"""),990)</f>
        <v>990</v>
      </c>
      <c r="AA78" s="70" t="n">
        <f aca="false">IFERROR(__xludf.dummyfunction("""COMPUTED_VALUE"""),0)</f>
        <v>0</v>
      </c>
      <c r="AB78" s="70" t="n">
        <f aca="false">IFERROR(__xludf.dummyfunction("""COMPUTED_VALUE"""),2736)</f>
        <v>2736</v>
      </c>
      <c r="AC78" s="70" t="n">
        <f aca="false">IFERROR(__xludf.dummyfunction("""COMPUTED_VALUE"""),78622)</f>
        <v>78622</v>
      </c>
      <c r="AD78" s="70" t="n">
        <f aca="false">IFERROR(__xludf.dummyfunction("""COMPUTED_VALUE"""),1453)</f>
        <v>1453</v>
      </c>
      <c r="AE78" s="70" t="n">
        <f aca="false">IFERROR(__xludf.dummyfunction("""COMPUTED_VALUE"""),25967)</f>
        <v>25967</v>
      </c>
      <c r="AF78" s="70" t="n">
        <f aca="false">IFERROR(__xludf.dummyfunction("""COMPUTED_VALUE"""),37)</f>
        <v>37</v>
      </c>
      <c r="AG78" s="70" t="n">
        <f aca="false">IFERROR(__xludf.dummyfunction("""COMPUTED_VALUE"""),0)</f>
        <v>0</v>
      </c>
      <c r="AH78" s="70" t="n">
        <f aca="false">IFERROR(__xludf.dummyfunction("""COMPUTED_VALUE"""),374)</f>
        <v>374</v>
      </c>
      <c r="AI78" s="70" t="n">
        <f aca="false">IFERROR(__xludf.dummyfunction("""COMPUTED_VALUE"""),841436)</f>
        <v>841436</v>
      </c>
      <c r="AJ78" s="70" t="n">
        <f aca="false">IFERROR(__xludf.dummyfunction("""COMPUTED_VALUE"""),119142)</f>
        <v>119142</v>
      </c>
      <c r="AK78" s="70" t="n">
        <f aca="false">IFERROR(__xludf.dummyfunction("""COMPUTED_VALUE"""),0)</f>
        <v>0</v>
      </c>
      <c r="AL78" s="70" t="n">
        <f aca="false">IFERROR(__xludf.dummyfunction("""COMPUTED_VALUE"""),407596)</f>
        <v>407596</v>
      </c>
      <c r="AM78" s="70" t="n">
        <f aca="false">IFERROR(__xludf.dummyfunction("""COMPUTED_VALUE"""),20455)</f>
        <v>20455</v>
      </c>
      <c r="AN78" s="70" t="n">
        <f aca="false">IFERROR(__xludf.dummyfunction("""COMPUTED_VALUE"""),5279)</f>
        <v>5279</v>
      </c>
      <c r="AO78" s="70" t="n">
        <f aca="false">IFERROR(__xludf.dummyfunction("""COMPUTED_VALUE"""),204250)</f>
        <v>204250</v>
      </c>
      <c r="AP78" s="70" t="n">
        <f aca="false">IFERROR(__xludf.dummyfunction("""COMPUTED_VALUE"""),0)</f>
        <v>0</v>
      </c>
      <c r="AQ78" s="70" t="n">
        <f aca="false">IFERROR(__xludf.dummyfunction("""COMPUTED_VALUE"""),40010)</f>
        <v>40010</v>
      </c>
      <c r="AR78" s="70" t="n">
        <f aca="false">IFERROR(__xludf.dummyfunction("""COMPUTED_VALUE"""),0)</f>
        <v>0</v>
      </c>
      <c r="AS78" s="70" t="n">
        <f aca="false">IFERROR(__xludf.dummyfunction("""COMPUTED_VALUE"""),259096)</f>
        <v>259096</v>
      </c>
      <c r="AT78" s="70" t="n">
        <f aca="false">IFERROR(__xludf.dummyfunction("""COMPUTED_VALUE"""),227994)</f>
        <v>227994</v>
      </c>
      <c r="AU78" s="70" t="n">
        <f aca="false">IFERROR(__xludf.dummyfunction("""COMPUTED_VALUE"""),45446)</f>
        <v>45446</v>
      </c>
      <c r="AV78" s="70" t="n">
        <f aca="false">IFERROR(__xludf.dummyfunction("""COMPUTED_VALUE"""),0)</f>
        <v>0</v>
      </c>
      <c r="AW78" s="70" t="n">
        <f aca="false">IFERROR(__xludf.dummyfunction("""COMPUTED_VALUE"""),112724)</f>
        <v>112724</v>
      </c>
      <c r="AX78" s="70" t="n">
        <f aca="false">IFERROR(__xludf.dummyfunction("""COMPUTED_VALUE"""),141494)</f>
        <v>141494</v>
      </c>
      <c r="AY78" s="70" t="n">
        <f aca="false">IFERROR(__xludf.dummyfunction("""COMPUTED_VALUE"""),266320)</f>
        <v>266320</v>
      </c>
      <c r="AZ78" s="70" t="n">
        <f aca="false">IFERROR(__xludf.dummyfunction("""COMPUTED_VALUE"""),6125)</f>
        <v>6125</v>
      </c>
      <c r="BA78" s="70" t="n">
        <f aca="false">IFERROR(__xludf.dummyfunction("""COMPUTED_VALUE"""),9)</f>
        <v>9</v>
      </c>
    </row>
    <row r="79" customFormat="false" ht="15.75" hidden="false" customHeight="false" outlineLevel="0" collapsed="false">
      <c r="A79" s="78" t="str">
        <f aca="false">IFERROR(__xludf.dummyfunction("""COMPUTED_VALUE"""),"water_type")</f>
        <v>water_type</v>
      </c>
      <c r="B79" s="72" t="n">
        <f aca="false">IFERROR(__xludf.dummyfunction("""COMPUTED_VALUE"""),4058322)</f>
        <v>4058322</v>
      </c>
      <c r="C79" s="73" t="n">
        <f aca="false">IFERROR(__xludf.dummyfunction("""COMPUTED_VALUE"""),71389)</f>
        <v>71389</v>
      </c>
      <c r="D79" s="70" t="n">
        <f aca="false">IFERROR(__xludf.dummyfunction("""COMPUTED_VALUE"""),3287)</f>
        <v>3287</v>
      </c>
      <c r="E79" s="70" t="n">
        <f aca="false">IFERROR(__xludf.dummyfunction("""COMPUTED_VALUE"""),7521)</f>
        <v>7521</v>
      </c>
      <c r="F79" s="70" t="n">
        <f aca="false">IFERROR(__xludf.dummyfunction("""COMPUTED_VALUE"""),0)</f>
        <v>0</v>
      </c>
      <c r="G79" s="70" t="n">
        <f aca="false">IFERROR(__xludf.dummyfunction("""COMPUTED_VALUE"""),179040)</f>
        <v>179040</v>
      </c>
      <c r="H79" s="70" t="n">
        <f aca="false">IFERROR(__xludf.dummyfunction("""COMPUTED_VALUE"""),23041)</f>
        <v>23041</v>
      </c>
      <c r="I79" s="70" t="n">
        <f aca="false">IFERROR(__xludf.dummyfunction("""COMPUTED_VALUE"""),1939)</f>
        <v>1939</v>
      </c>
      <c r="J79" s="70" t="n">
        <f aca="false">IFERROR(__xludf.dummyfunction("""COMPUTED_VALUE"""),10081)</f>
        <v>10081</v>
      </c>
      <c r="K79" s="70" t="n">
        <f aca="false">IFERROR(__xludf.dummyfunction("""COMPUTED_VALUE"""),0)</f>
        <v>0</v>
      </c>
      <c r="L79" s="70" t="n">
        <f aca="false">IFERROR(__xludf.dummyfunction("""COMPUTED_VALUE"""),5794)</f>
        <v>5794</v>
      </c>
      <c r="M79" s="70" t="n">
        <f aca="false">IFERROR(__xludf.dummyfunction("""COMPUTED_VALUE"""),252655)</f>
        <v>252655</v>
      </c>
      <c r="N79" s="70" t="n">
        <f aca="false">IFERROR(__xludf.dummyfunction("""COMPUTED_VALUE"""),0)</f>
        <v>0</v>
      </c>
      <c r="O79" s="70" t="n">
        <f aca="false">IFERROR(__xludf.dummyfunction("""COMPUTED_VALUE"""),2049)</f>
        <v>2049</v>
      </c>
      <c r="P79" s="70" t="n">
        <f aca="false">IFERROR(__xludf.dummyfunction("""COMPUTED_VALUE"""),9102)</f>
        <v>9102</v>
      </c>
      <c r="Q79" s="70" t="n">
        <f aca="false">IFERROR(__xludf.dummyfunction("""COMPUTED_VALUE"""),293199)</f>
        <v>293199</v>
      </c>
      <c r="R79" s="70" t="n">
        <f aca="false">IFERROR(__xludf.dummyfunction("""COMPUTED_VALUE"""),3247)</f>
        <v>3247</v>
      </c>
      <c r="S79" s="70" t="n">
        <f aca="false">IFERROR(__xludf.dummyfunction("""COMPUTED_VALUE"""),80276)</f>
        <v>80276</v>
      </c>
      <c r="T79" s="70" t="n">
        <f aca="false">IFERROR(__xludf.dummyfunction("""COMPUTED_VALUE"""),14)</f>
        <v>14</v>
      </c>
      <c r="U79" s="70" t="n">
        <f aca="false">IFERROR(__xludf.dummyfunction("""COMPUTED_VALUE"""),0)</f>
        <v>0</v>
      </c>
      <c r="V79" s="70" t="n">
        <f aca="false">IFERROR(__xludf.dummyfunction("""COMPUTED_VALUE"""),280)</f>
        <v>280</v>
      </c>
      <c r="W79" s="70" t="n">
        <f aca="false">IFERROR(__xludf.dummyfunction("""COMPUTED_VALUE"""),51628)</f>
        <v>51628</v>
      </c>
      <c r="X79" s="70" t="n">
        <f aca="false">IFERROR(__xludf.dummyfunction("""COMPUTED_VALUE"""),113)</f>
        <v>113</v>
      </c>
      <c r="Y79" s="70" t="n">
        <f aca="false">IFERROR(__xludf.dummyfunction("""COMPUTED_VALUE"""),12160)</f>
        <v>12160</v>
      </c>
      <c r="Z79" s="70" t="n">
        <f aca="false">IFERROR(__xludf.dummyfunction("""COMPUTED_VALUE"""),0)</f>
        <v>0</v>
      </c>
      <c r="AA79" s="70" t="n">
        <f aca="false">IFERROR(__xludf.dummyfunction("""COMPUTED_VALUE"""),0)</f>
        <v>0</v>
      </c>
      <c r="AB79" s="70" t="n">
        <f aca="false">IFERROR(__xludf.dummyfunction("""COMPUTED_VALUE"""),39730)</f>
        <v>39730</v>
      </c>
      <c r="AC79" s="70" t="n">
        <f aca="false">IFERROR(__xludf.dummyfunction("""COMPUTED_VALUE"""),80866)</f>
        <v>80866</v>
      </c>
      <c r="AD79" s="70" t="n">
        <f aca="false">IFERROR(__xludf.dummyfunction("""COMPUTED_VALUE"""),1453)</f>
        <v>1453</v>
      </c>
      <c r="AE79" s="70" t="n">
        <f aca="false">IFERROR(__xludf.dummyfunction("""COMPUTED_VALUE"""),25109)</f>
        <v>25109</v>
      </c>
      <c r="AF79" s="70" t="n">
        <f aca="false">IFERROR(__xludf.dummyfunction("""COMPUTED_VALUE"""),94)</f>
        <v>94</v>
      </c>
      <c r="AG79" s="70" t="n">
        <f aca="false">IFERROR(__xludf.dummyfunction("""COMPUTED_VALUE"""),0)</f>
        <v>0</v>
      </c>
      <c r="AH79" s="70" t="n">
        <f aca="false">IFERROR(__xludf.dummyfunction("""COMPUTED_VALUE"""),0)</f>
        <v>0</v>
      </c>
      <c r="AI79" s="70" t="n">
        <f aca="false">IFERROR(__xludf.dummyfunction("""COMPUTED_VALUE"""),841574)</f>
        <v>841574</v>
      </c>
      <c r="AJ79" s="70" t="n">
        <f aca="false">IFERROR(__xludf.dummyfunction("""COMPUTED_VALUE"""),131920)</f>
        <v>131920</v>
      </c>
      <c r="AK79" s="70" t="n">
        <f aca="false">IFERROR(__xludf.dummyfunction("""COMPUTED_VALUE"""),0)</f>
        <v>0</v>
      </c>
      <c r="AL79" s="70" t="n">
        <f aca="false">IFERROR(__xludf.dummyfunction("""COMPUTED_VALUE"""),449902)</f>
        <v>449902</v>
      </c>
      <c r="AM79" s="70" t="n">
        <f aca="false">IFERROR(__xludf.dummyfunction("""COMPUTED_VALUE"""),20593)</f>
        <v>20593</v>
      </c>
      <c r="AN79" s="70" t="n">
        <f aca="false">IFERROR(__xludf.dummyfunction("""COMPUTED_VALUE"""),6280)</f>
        <v>6280</v>
      </c>
      <c r="AO79" s="70" t="n">
        <f aca="false">IFERROR(__xludf.dummyfunction("""COMPUTED_VALUE"""),227849)</f>
        <v>227849</v>
      </c>
      <c r="AP79" s="70" t="n">
        <f aca="false">IFERROR(__xludf.dummyfunction("""COMPUTED_VALUE"""),114)</f>
        <v>114</v>
      </c>
      <c r="AQ79" s="70" t="n">
        <f aca="false">IFERROR(__xludf.dummyfunction("""COMPUTED_VALUE"""),28808)</f>
        <v>28808</v>
      </c>
      <c r="AR79" s="70" t="n">
        <f aca="false">IFERROR(__xludf.dummyfunction("""COMPUTED_VALUE"""),0)</f>
        <v>0</v>
      </c>
      <c r="AS79" s="70" t="n">
        <f aca="false">IFERROR(__xludf.dummyfunction("""COMPUTED_VALUE"""),303280)</f>
        <v>303280</v>
      </c>
      <c r="AT79" s="70" t="n">
        <f aca="false">IFERROR(__xludf.dummyfunction("""COMPUTED_VALUE"""),289693)</f>
        <v>289693</v>
      </c>
      <c r="AU79" s="70" t="n">
        <f aca="false">IFERROR(__xludf.dummyfunction("""COMPUTED_VALUE"""),0)</f>
        <v>0</v>
      </c>
      <c r="AV79" s="70" t="n">
        <f aca="false">IFERROR(__xludf.dummyfunction("""COMPUTED_VALUE"""),0)</f>
        <v>0</v>
      </c>
      <c r="AW79" s="70" t="n">
        <f aca="false">IFERROR(__xludf.dummyfunction("""COMPUTED_VALUE"""),113377)</f>
        <v>113377</v>
      </c>
      <c r="AX79" s="70" t="n">
        <f aca="false">IFERROR(__xludf.dummyfunction("""COMPUTED_VALUE"""),151134)</f>
        <v>151134</v>
      </c>
      <c r="AY79" s="70" t="n">
        <f aca="false">IFERROR(__xludf.dummyfunction("""COMPUTED_VALUE"""),333659)</f>
        <v>333659</v>
      </c>
      <c r="AZ79" s="70" t="n">
        <f aca="false">IFERROR(__xludf.dummyfunction("""COMPUTED_VALUE"""),6058)</f>
        <v>6058</v>
      </c>
      <c r="BA79" s="70" t="n">
        <f aca="false">IFERROR(__xludf.dummyfunction("""COMPUTED_VALUE"""),14)</f>
        <v>14</v>
      </c>
    </row>
    <row r="80" customFormat="false" ht="15.75" hidden="false" customHeight="false" outlineLevel="0" collapsed="false">
      <c r="B80" s="59"/>
      <c r="C80" s="79"/>
      <c r="D80" s="80"/>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row>
    <row r="81" customFormat="false" ht="15.75" hidden="false" customHeight="false" outlineLevel="0" collapsed="false">
      <c r="A81" s="74" t="s">
        <v>1812</v>
      </c>
      <c r="B81" s="7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row>
    <row r="82" customFormat="false" ht="15.75" hidden="false" customHeight="false" outlineLevel="0" collapsed="false">
      <c r="A82" s="75" t="str">
        <f aca="false">IFERROR(__xludf.dummyfunction("TRANSPOSE(IMPORTRANGE(""https://docs.google.com/spreadsheets/d/1GKhz9pSyUWFf4Xrp7ACbjr4UA3dMq6VxKG1OCLWM9yA"", ""'Other Areas'!F4:G56""))"),"area_type")</f>
        <v>area_type</v>
      </c>
      <c r="B82" s="56" t="n">
        <f aca="false">IFERROR(__xludf.dummyfunction("""COMPUTED_VALUE"""),3852626)</f>
        <v>3852626</v>
      </c>
      <c r="C82" s="76" t="n">
        <f aca="false">IFERROR(__xludf.dummyfunction("""COMPUTED_VALUE"""),119995)</f>
        <v>119995</v>
      </c>
      <c r="D82" s="77" t="n">
        <f aca="false">IFERROR(__xludf.dummyfunction("""COMPUTED_VALUE"""),5435)</f>
        <v>5435</v>
      </c>
      <c r="E82" s="77" t="n">
        <f aca="false">IFERROR(__xludf.dummyfunction("""COMPUTED_VALUE"""),100078)</f>
        <v>100078</v>
      </c>
      <c r="F82" s="77" t="n">
        <f aca="false">IFERROR(__xludf.dummyfunction("""COMPUTED_VALUE"""),21753)</f>
        <v>21753</v>
      </c>
      <c r="G82" s="77" t="n">
        <f aca="false">IFERROR(__xludf.dummyfunction("""COMPUTED_VALUE"""),279711)</f>
        <v>279711</v>
      </c>
      <c r="H82" s="77" t="n">
        <f aca="false">IFERROR(__xludf.dummyfunction("""COMPUTED_VALUE"""),104673)</f>
        <v>104673</v>
      </c>
      <c r="I82" s="77" t="n">
        <f aca="false">IFERROR(__xludf.dummyfunction("""COMPUTED_VALUE"""),54802)</f>
        <v>54802</v>
      </c>
      <c r="J82" s="77" t="n">
        <f aca="false">IFERROR(__xludf.dummyfunction("""COMPUTED_VALUE"""),207)</f>
        <v>207</v>
      </c>
      <c r="K82" s="77" t="n">
        <f aca="false">IFERROR(__xludf.dummyfunction("""COMPUTED_VALUE"""),7803)</f>
        <v>7803</v>
      </c>
      <c r="L82" s="77" t="n">
        <f aca="false">IFERROR(__xludf.dummyfunction("""COMPUTED_VALUE"""),339323)</f>
        <v>339323</v>
      </c>
      <c r="M82" s="77" t="n">
        <f aca="false">IFERROR(__xludf.dummyfunction("""COMPUTED_VALUE"""),81765)</f>
        <v>81765</v>
      </c>
      <c r="N82" s="77" t="n">
        <f aca="false">IFERROR(__xludf.dummyfunction("""COMPUTED_VALUE"""),3163)</f>
        <v>3163</v>
      </c>
      <c r="O82" s="77" t="n">
        <f aca="false">IFERROR(__xludf.dummyfunction("""COMPUTED_VALUE"""),20332)</f>
        <v>20332</v>
      </c>
      <c r="P82" s="77" t="n">
        <f aca="false">IFERROR(__xludf.dummyfunction("""COMPUTED_VALUE"""),67650)</f>
        <v>67650</v>
      </c>
      <c r="Q82" s="77" t="n">
        <f aca="false">IFERROR(__xludf.dummyfunction("""COMPUTED_VALUE"""),140364)</f>
        <v>140364</v>
      </c>
      <c r="R82" s="77" t="n">
        <f aca="false">IFERROR(__xludf.dummyfunction("""COMPUTED_VALUE"""),65938)</f>
        <v>65938</v>
      </c>
      <c r="S82" s="77" t="n">
        <f aca="false">IFERROR(__xludf.dummyfunction("""COMPUTED_VALUE"""),10796)</f>
        <v>10796</v>
      </c>
      <c r="T82" s="77" t="n">
        <f aca="false">IFERROR(__xludf.dummyfunction("""COMPUTED_VALUE"""),40362)</f>
        <v>40362</v>
      </c>
      <c r="U82" s="77" t="n">
        <f aca="false">IFERROR(__xludf.dummyfunction("""COMPUTED_VALUE"""),32255)</f>
        <v>32255</v>
      </c>
      <c r="V82" s="77" t="n">
        <f aca="false">IFERROR(__xludf.dummyfunction("""COMPUTED_VALUE"""),17640)</f>
        <v>17640</v>
      </c>
      <c r="W82" s="77" t="n">
        <f aca="false">IFERROR(__xludf.dummyfunction("""COMPUTED_VALUE"""),24281)</f>
        <v>24281</v>
      </c>
      <c r="X82" s="77" t="n">
        <f aca="false">IFERROR(__xludf.dummyfunction("""COMPUTED_VALUE"""),112668)</f>
        <v>112668</v>
      </c>
      <c r="Y82" s="77" t="n">
        <f aca="false">IFERROR(__xludf.dummyfunction("""COMPUTED_VALUE"""),53504)</f>
        <v>53504</v>
      </c>
      <c r="Z82" s="77" t="n">
        <f aca="false">IFERROR(__xludf.dummyfunction("""COMPUTED_VALUE"""),76205)</f>
        <v>76205</v>
      </c>
      <c r="AA82" s="77" t="n">
        <f aca="false">IFERROR(__xludf.dummyfunction("""COMPUTED_VALUE"""),62757)</f>
        <v>62757</v>
      </c>
      <c r="AB82" s="77" t="n">
        <f aca="false">IFERROR(__xludf.dummyfunction("""COMPUTED_VALUE"""),60835)</f>
        <v>60835</v>
      </c>
      <c r="AC82" s="77" t="n">
        <f aca="false">IFERROR(__xludf.dummyfunction("""COMPUTED_VALUE"""),82)</f>
        <v>82</v>
      </c>
      <c r="AD82" s="77" t="n">
        <f aca="false">IFERROR(__xludf.dummyfunction("""COMPUTED_VALUE"""),27486)</f>
        <v>27486</v>
      </c>
      <c r="AE82" s="77" t="n">
        <f aca="false">IFERROR(__xludf.dummyfunction("""COMPUTED_VALUE"""),11423)</f>
        <v>11423</v>
      </c>
      <c r="AF82" s="77" t="n">
        <f aca="false">IFERROR(__xludf.dummyfunction("""COMPUTED_VALUE"""),24332)</f>
        <v>24332</v>
      </c>
      <c r="AG82" s="77" t="n">
        <f aca="false">IFERROR(__xludf.dummyfunction("""COMPUTED_VALUE"""),53414)</f>
        <v>53414</v>
      </c>
      <c r="AH82" s="77" t="n">
        <f aca="false">IFERROR(__xludf.dummyfunction("""COMPUTED_VALUE"""),7062)</f>
        <v>7062</v>
      </c>
      <c r="AI82" s="77" t="n">
        <f aca="false">IFERROR(__xludf.dummyfunction("""COMPUTED_VALUE"""),211425)</f>
        <v>211425</v>
      </c>
      <c r="AJ82" s="77" t="n">
        <f aca="false">IFERROR(__xludf.dummyfunction("""COMPUTED_VALUE"""),180635)</f>
        <v>180635</v>
      </c>
      <c r="AK82" s="77" t="n">
        <f aca="false">IFERROR(__xludf.dummyfunction("""COMPUTED_VALUE"""),5435)</f>
        <v>5435</v>
      </c>
      <c r="AL82" s="77" t="n">
        <f aca="false">IFERROR(__xludf.dummyfunction("""COMPUTED_VALUE"""),145742)</f>
        <v>145742</v>
      </c>
      <c r="AM82" s="77" t="n">
        <f aca="false">IFERROR(__xludf.dummyfunction("""COMPUTED_VALUE"""),95350)</f>
        <v>95350</v>
      </c>
      <c r="AN82" s="77" t="n">
        <f aca="false">IFERROR(__xludf.dummyfunction("""COMPUTED_VALUE"""),64050)</f>
        <v>64050</v>
      </c>
      <c r="AO82" s="77" t="n">
        <f aca="false">IFERROR(__xludf.dummyfunction("""COMPUTED_VALUE"""),160299)</f>
        <v>160299</v>
      </c>
      <c r="AP82" s="77" t="n">
        <f aca="false">IFERROR(__xludf.dummyfunction("""COMPUTED_VALUE"""),22512)</f>
        <v>22512</v>
      </c>
      <c r="AQ82" s="77" t="n">
        <f aca="false">IFERROR(__xludf.dummyfunction("""COMPUTED_VALUE"""),72186)</f>
        <v>72186</v>
      </c>
      <c r="AR82" s="77" t="n">
        <f aca="false">IFERROR(__xludf.dummyfunction("""COMPUTED_VALUE"""),9926)</f>
        <v>9926</v>
      </c>
      <c r="AS82" s="77" t="n">
        <f aca="false">IFERROR(__xludf.dummyfunction("""COMPUTED_VALUE"""),62028)</f>
        <v>62028</v>
      </c>
      <c r="AT82" s="77" t="n">
        <f aca="false">IFERROR(__xludf.dummyfunction("""COMPUTED_VALUE"""),494677)</f>
        <v>494677</v>
      </c>
      <c r="AU82" s="77" t="n">
        <f aca="false">IFERROR(__xludf.dummyfunction("""COMPUTED_VALUE"""),25840)</f>
        <v>25840</v>
      </c>
      <c r="AV82" s="77" t="n">
        <f aca="false">IFERROR(__xludf.dummyfunction("""COMPUTED_VALUE"""),7783)</f>
        <v>7783</v>
      </c>
      <c r="AW82" s="77" t="n">
        <f aca="false">IFERROR(__xludf.dummyfunction("""COMPUTED_VALUE"""),93083)</f>
        <v>93083</v>
      </c>
      <c r="AX82" s="77" t="n">
        <f aca="false">IFERROR(__xludf.dummyfunction("""COMPUTED_VALUE"""),103602)</f>
        <v>103602</v>
      </c>
      <c r="AY82" s="77" t="n">
        <f aca="false">IFERROR(__xludf.dummyfunction("""COMPUTED_VALUE"""),37598)</f>
        <v>37598</v>
      </c>
      <c r="AZ82" s="77" t="n">
        <f aca="false">IFERROR(__xludf.dummyfunction("""COMPUTED_VALUE"""),15142)</f>
        <v>15142</v>
      </c>
      <c r="BA82" s="77" t="n">
        <f aca="false">IFERROR(__xludf.dummyfunction("""COMPUTED_VALUE"""),17219)</f>
        <v>17219</v>
      </c>
    </row>
    <row r="83" customFormat="false" ht="15.75" hidden="false" customHeight="false" outlineLevel="0" collapsed="false">
      <c r="A83" s="78" t="str">
        <f aca="false">IFERROR(__xludf.dummyfunction("""COMPUTED_VALUE"""),"area_sq_ft")</f>
        <v>area_sq_ft</v>
      </c>
      <c r="B83" s="72" t="n">
        <f aca="false">IFERROR(__xludf.dummyfunction("""COMPUTED_VALUE"""),3852626)</f>
        <v>3852626</v>
      </c>
      <c r="C83" s="73" t="n">
        <f aca="false">IFERROR(__xludf.dummyfunction("""COMPUTED_VALUE"""),119995)</f>
        <v>119995</v>
      </c>
      <c r="D83" s="70" t="n">
        <f aca="false">IFERROR(__xludf.dummyfunction("""COMPUTED_VALUE"""),5435)</f>
        <v>5435</v>
      </c>
      <c r="E83" s="70" t="n">
        <f aca="false">IFERROR(__xludf.dummyfunction("""COMPUTED_VALUE"""),100078)</f>
        <v>100078</v>
      </c>
      <c r="F83" s="70" t="n">
        <f aca="false">IFERROR(__xludf.dummyfunction("""COMPUTED_VALUE"""),21753)</f>
        <v>21753</v>
      </c>
      <c r="G83" s="70" t="n">
        <f aca="false">IFERROR(__xludf.dummyfunction("""COMPUTED_VALUE"""),279711)</f>
        <v>279711</v>
      </c>
      <c r="H83" s="70" t="n">
        <f aca="false">IFERROR(__xludf.dummyfunction("""COMPUTED_VALUE"""),104673)</f>
        <v>104673</v>
      </c>
      <c r="I83" s="70" t="n">
        <f aca="false">IFERROR(__xludf.dummyfunction("""COMPUTED_VALUE"""),54802)</f>
        <v>54802</v>
      </c>
      <c r="J83" s="70" t="n">
        <f aca="false">IFERROR(__xludf.dummyfunction("""COMPUTED_VALUE"""),207)</f>
        <v>207</v>
      </c>
      <c r="K83" s="70" t="n">
        <f aca="false">IFERROR(__xludf.dummyfunction("""COMPUTED_VALUE"""),7803)</f>
        <v>7803</v>
      </c>
      <c r="L83" s="70" t="n">
        <f aca="false">IFERROR(__xludf.dummyfunction("""COMPUTED_VALUE"""),339323)</f>
        <v>339323</v>
      </c>
      <c r="M83" s="70" t="n">
        <f aca="false">IFERROR(__xludf.dummyfunction("""COMPUTED_VALUE"""),81765)</f>
        <v>81765</v>
      </c>
      <c r="N83" s="70" t="n">
        <f aca="false">IFERROR(__xludf.dummyfunction("""COMPUTED_VALUE"""),3163)</f>
        <v>3163</v>
      </c>
      <c r="O83" s="70" t="n">
        <f aca="false">IFERROR(__xludf.dummyfunction("""COMPUTED_VALUE"""),20332)</f>
        <v>20332</v>
      </c>
      <c r="P83" s="70" t="n">
        <f aca="false">IFERROR(__xludf.dummyfunction("""COMPUTED_VALUE"""),67650)</f>
        <v>67650</v>
      </c>
      <c r="Q83" s="70" t="n">
        <f aca="false">IFERROR(__xludf.dummyfunction("""COMPUTED_VALUE"""),140364)</f>
        <v>140364</v>
      </c>
      <c r="R83" s="70" t="n">
        <f aca="false">IFERROR(__xludf.dummyfunction("""COMPUTED_VALUE"""),65938)</f>
        <v>65938</v>
      </c>
      <c r="S83" s="70" t="n">
        <f aca="false">IFERROR(__xludf.dummyfunction("""COMPUTED_VALUE"""),10796)</f>
        <v>10796</v>
      </c>
      <c r="T83" s="70" t="n">
        <f aca="false">IFERROR(__xludf.dummyfunction("""COMPUTED_VALUE"""),40362)</f>
        <v>40362</v>
      </c>
      <c r="U83" s="70" t="n">
        <f aca="false">IFERROR(__xludf.dummyfunction("""COMPUTED_VALUE"""),32255)</f>
        <v>32255</v>
      </c>
      <c r="V83" s="70" t="n">
        <f aca="false">IFERROR(__xludf.dummyfunction("""COMPUTED_VALUE"""),17640)</f>
        <v>17640</v>
      </c>
      <c r="W83" s="70" t="n">
        <f aca="false">IFERROR(__xludf.dummyfunction("""COMPUTED_VALUE"""),24281)</f>
        <v>24281</v>
      </c>
      <c r="X83" s="70" t="n">
        <f aca="false">IFERROR(__xludf.dummyfunction("""COMPUTED_VALUE"""),112668)</f>
        <v>112668</v>
      </c>
      <c r="Y83" s="70" t="n">
        <f aca="false">IFERROR(__xludf.dummyfunction("""COMPUTED_VALUE"""),53504)</f>
        <v>53504</v>
      </c>
      <c r="Z83" s="70" t="n">
        <f aca="false">IFERROR(__xludf.dummyfunction("""COMPUTED_VALUE"""),76205)</f>
        <v>76205</v>
      </c>
      <c r="AA83" s="70" t="n">
        <f aca="false">IFERROR(__xludf.dummyfunction("""COMPUTED_VALUE"""),62757)</f>
        <v>62757</v>
      </c>
      <c r="AB83" s="70" t="n">
        <f aca="false">IFERROR(__xludf.dummyfunction("""COMPUTED_VALUE"""),60835)</f>
        <v>60835</v>
      </c>
      <c r="AC83" s="70" t="n">
        <f aca="false">IFERROR(__xludf.dummyfunction("""COMPUTED_VALUE"""),82)</f>
        <v>82</v>
      </c>
      <c r="AD83" s="70" t="n">
        <f aca="false">IFERROR(__xludf.dummyfunction("""COMPUTED_VALUE"""),27486)</f>
        <v>27486</v>
      </c>
      <c r="AE83" s="70" t="n">
        <f aca="false">IFERROR(__xludf.dummyfunction("""COMPUTED_VALUE"""),11423)</f>
        <v>11423</v>
      </c>
      <c r="AF83" s="70" t="n">
        <f aca="false">IFERROR(__xludf.dummyfunction("""COMPUTED_VALUE"""),24332)</f>
        <v>24332</v>
      </c>
      <c r="AG83" s="70" t="n">
        <f aca="false">IFERROR(__xludf.dummyfunction("""COMPUTED_VALUE"""),53414)</f>
        <v>53414</v>
      </c>
      <c r="AH83" s="70" t="n">
        <f aca="false">IFERROR(__xludf.dummyfunction("""COMPUTED_VALUE"""),7062)</f>
        <v>7062</v>
      </c>
      <c r="AI83" s="70" t="n">
        <f aca="false">IFERROR(__xludf.dummyfunction("""COMPUTED_VALUE"""),211425)</f>
        <v>211425</v>
      </c>
      <c r="AJ83" s="70" t="n">
        <f aca="false">IFERROR(__xludf.dummyfunction("""COMPUTED_VALUE"""),180635)</f>
        <v>180635</v>
      </c>
      <c r="AK83" s="70" t="n">
        <f aca="false">IFERROR(__xludf.dummyfunction("""COMPUTED_VALUE"""),5435)</f>
        <v>5435</v>
      </c>
      <c r="AL83" s="70" t="n">
        <f aca="false">IFERROR(__xludf.dummyfunction("""COMPUTED_VALUE"""),145742)</f>
        <v>145742</v>
      </c>
      <c r="AM83" s="70" t="n">
        <f aca="false">IFERROR(__xludf.dummyfunction("""COMPUTED_VALUE"""),95350)</f>
        <v>95350</v>
      </c>
      <c r="AN83" s="70" t="n">
        <f aca="false">IFERROR(__xludf.dummyfunction("""COMPUTED_VALUE"""),64050)</f>
        <v>64050</v>
      </c>
      <c r="AO83" s="70" t="n">
        <f aca="false">IFERROR(__xludf.dummyfunction("""COMPUTED_VALUE"""),160299)</f>
        <v>160299</v>
      </c>
      <c r="AP83" s="70" t="n">
        <f aca="false">IFERROR(__xludf.dummyfunction("""COMPUTED_VALUE"""),22512)</f>
        <v>22512</v>
      </c>
      <c r="AQ83" s="70" t="n">
        <f aca="false">IFERROR(__xludf.dummyfunction("""COMPUTED_VALUE"""),72186)</f>
        <v>72186</v>
      </c>
      <c r="AR83" s="70" t="n">
        <f aca="false">IFERROR(__xludf.dummyfunction("""COMPUTED_VALUE"""),9926)</f>
        <v>9926</v>
      </c>
      <c r="AS83" s="70" t="n">
        <f aca="false">IFERROR(__xludf.dummyfunction("""COMPUTED_VALUE"""),62028)</f>
        <v>62028</v>
      </c>
      <c r="AT83" s="70" t="n">
        <f aca="false">IFERROR(__xludf.dummyfunction("""COMPUTED_VALUE"""),494677)</f>
        <v>494677</v>
      </c>
      <c r="AU83" s="70" t="n">
        <f aca="false">IFERROR(__xludf.dummyfunction("""COMPUTED_VALUE"""),25840)</f>
        <v>25840</v>
      </c>
      <c r="AV83" s="70" t="n">
        <f aca="false">IFERROR(__xludf.dummyfunction("""COMPUTED_VALUE"""),7783)</f>
        <v>7783</v>
      </c>
      <c r="AW83" s="70" t="n">
        <f aca="false">IFERROR(__xludf.dummyfunction("""COMPUTED_VALUE"""),93083)</f>
        <v>93083</v>
      </c>
      <c r="AX83" s="70" t="n">
        <f aca="false">IFERROR(__xludf.dummyfunction("""COMPUTED_VALUE"""),103602)</f>
        <v>103602</v>
      </c>
      <c r="AY83" s="70" t="n">
        <f aca="false">IFERROR(__xludf.dummyfunction("""COMPUTED_VALUE"""),37598)</f>
        <v>37598</v>
      </c>
      <c r="AZ83" s="70" t="n">
        <f aca="false">IFERROR(__xludf.dummyfunction("""COMPUTED_VALUE"""),15142)</f>
        <v>15142</v>
      </c>
      <c r="BA83" s="70" t="n">
        <f aca="false">IFERROR(__xludf.dummyfunction("""COMPUTED_VALUE"""),17219)</f>
        <v>17219</v>
      </c>
    </row>
    <row r="84" customFormat="false" ht="15.75" hidden="false" customHeight="false" outlineLevel="0" collapsed="false">
      <c r="B84" s="59"/>
      <c r="C84" s="79"/>
      <c r="D84" s="80"/>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row>
    <row r="85" customFormat="false" ht="15.75" hidden="false" customHeight="false" outlineLevel="0" collapsed="false">
      <c r="A85" s="74" t="s">
        <v>1813</v>
      </c>
      <c r="B85" s="7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row>
    <row r="86" customFormat="false" ht="15.75" hidden="false" customHeight="false" outlineLevel="0" collapsed="false">
      <c r="A86" s="75" t="str">
        <f aca="false">IFERROR(__xludf.dummyfunction("TRANSPOSE(IMPORTRANGE(""https://docs.google.com/spreadsheets/d/1GKhz9pSyUWFf4Xrp7ACbjr4UA3dMq6VxKG1OCLWM9yA"", ""'Other Features'!F4:G56""))"),"feature_type")</f>
        <v>feature_type</v>
      </c>
      <c r="B86" s="56" t="n">
        <f aca="false">IFERROR(__xludf.dummyfunction("""COMPUTED_VALUE"""),0)</f>
        <v>0</v>
      </c>
      <c r="C86" s="76" t="n">
        <f aca="false">IFERROR(__xludf.dummyfunction("""COMPUTED_VALUE"""),0)</f>
        <v>0</v>
      </c>
      <c r="D86" s="77" t="n">
        <f aca="false">IFERROR(__xludf.dummyfunction("""COMPUTED_VALUE"""),0)</f>
        <v>0</v>
      </c>
      <c r="E86" s="77" t="n">
        <f aca="false">IFERROR(__xludf.dummyfunction("""COMPUTED_VALUE"""),0)</f>
        <v>0</v>
      </c>
      <c r="F86" s="77" t="n">
        <f aca="false">IFERROR(__xludf.dummyfunction("""COMPUTED_VALUE"""),0)</f>
        <v>0</v>
      </c>
      <c r="G86" s="77" t="n">
        <f aca="false">IFERROR(__xludf.dummyfunction("""COMPUTED_VALUE"""),0)</f>
        <v>0</v>
      </c>
      <c r="H86" s="77" t="n">
        <f aca="false">IFERROR(__xludf.dummyfunction("""COMPUTED_VALUE"""),0)</f>
        <v>0</v>
      </c>
      <c r="I86" s="77" t="n">
        <f aca="false">IFERROR(__xludf.dummyfunction("""COMPUTED_VALUE"""),0)</f>
        <v>0</v>
      </c>
      <c r="J86" s="77" t="n">
        <f aca="false">IFERROR(__xludf.dummyfunction("""COMPUTED_VALUE"""),0)</f>
        <v>0</v>
      </c>
      <c r="K86" s="77" t="n">
        <f aca="false">IFERROR(__xludf.dummyfunction("""COMPUTED_VALUE"""),0)</f>
        <v>0</v>
      </c>
      <c r="L86" s="77" t="n">
        <f aca="false">IFERROR(__xludf.dummyfunction("""COMPUTED_VALUE"""),0)</f>
        <v>0</v>
      </c>
      <c r="M86" s="77" t="n">
        <f aca="false">IFERROR(__xludf.dummyfunction("""COMPUTED_VALUE"""),0)</f>
        <v>0</v>
      </c>
      <c r="N86" s="77" t="n">
        <f aca="false">IFERROR(__xludf.dummyfunction("""COMPUTED_VALUE"""),0)</f>
        <v>0</v>
      </c>
      <c r="O86" s="77" t="n">
        <f aca="false">IFERROR(__xludf.dummyfunction("""COMPUTED_VALUE"""),0)</f>
        <v>0</v>
      </c>
      <c r="P86" s="77" t="n">
        <f aca="false">IFERROR(__xludf.dummyfunction("""COMPUTED_VALUE"""),0)</f>
        <v>0</v>
      </c>
      <c r="Q86" s="77" t="n">
        <f aca="false">IFERROR(__xludf.dummyfunction("""COMPUTED_VALUE"""),0)</f>
        <v>0</v>
      </c>
      <c r="R86" s="77" t="n">
        <f aca="false">IFERROR(__xludf.dummyfunction("""COMPUTED_VALUE"""),0)</f>
        <v>0</v>
      </c>
      <c r="S86" s="77" t="n">
        <f aca="false">IFERROR(__xludf.dummyfunction("""COMPUTED_VALUE"""),0)</f>
        <v>0</v>
      </c>
      <c r="T86" s="77" t="n">
        <f aca="false">IFERROR(__xludf.dummyfunction("""COMPUTED_VALUE"""),0)</f>
        <v>0</v>
      </c>
      <c r="U86" s="77" t="n">
        <f aca="false">IFERROR(__xludf.dummyfunction("""COMPUTED_VALUE"""),0)</f>
        <v>0</v>
      </c>
      <c r="V86" s="77" t="n">
        <f aca="false">IFERROR(__xludf.dummyfunction("""COMPUTED_VALUE"""),0)</f>
        <v>0</v>
      </c>
      <c r="W86" s="77" t="n">
        <f aca="false">IFERROR(__xludf.dummyfunction("""COMPUTED_VALUE"""),0)</f>
        <v>0</v>
      </c>
      <c r="X86" s="77" t="n">
        <f aca="false">IFERROR(__xludf.dummyfunction("""COMPUTED_VALUE"""),0)</f>
        <v>0</v>
      </c>
      <c r="Y86" s="77" t="n">
        <f aca="false">IFERROR(__xludf.dummyfunction("""COMPUTED_VALUE"""),0)</f>
        <v>0</v>
      </c>
      <c r="Z86" s="77" t="n">
        <f aca="false">IFERROR(__xludf.dummyfunction("""COMPUTED_VALUE"""),0)</f>
        <v>0</v>
      </c>
      <c r="AA86" s="77" t="n">
        <f aca="false">IFERROR(__xludf.dummyfunction("""COMPUTED_VALUE"""),0)</f>
        <v>0</v>
      </c>
      <c r="AB86" s="77" t="n">
        <f aca="false">IFERROR(__xludf.dummyfunction("""COMPUTED_VALUE"""),0)</f>
        <v>0</v>
      </c>
      <c r="AC86" s="77" t="n">
        <f aca="false">IFERROR(__xludf.dummyfunction("""COMPUTED_VALUE"""),0)</f>
        <v>0</v>
      </c>
      <c r="AD86" s="77" t="n">
        <f aca="false">IFERROR(__xludf.dummyfunction("""COMPUTED_VALUE"""),0)</f>
        <v>0</v>
      </c>
      <c r="AE86" s="77" t="n">
        <f aca="false">IFERROR(__xludf.dummyfunction("""COMPUTED_VALUE"""),0)</f>
        <v>0</v>
      </c>
      <c r="AF86" s="77" t="n">
        <f aca="false">IFERROR(__xludf.dummyfunction("""COMPUTED_VALUE"""),0)</f>
        <v>0</v>
      </c>
      <c r="AG86" s="77" t="n">
        <f aca="false">IFERROR(__xludf.dummyfunction("""COMPUTED_VALUE"""),0)</f>
        <v>0</v>
      </c>
      <c r="AH86" s="77" t="n">
        <f aca="false">IFERROR(__xludf.dummyfunction("""COMPUTED_VALUE"""),0)</f>
        <v>0</v>
      </c>
      <c r="AI86" s="77" t="n">
        <f aca="false">IFERROR(__xludf.dummyfunction("""COMPUTED_VALUE"""),0)</f>
        <v>0</v>
      </c>
      <c r="AJ86" s="77" t="n">
        <f aca="false">IFERROR(__xludf.dummyfunction("""COMPUTED_VALUE"""),0)</f>
        <v>0</v>
      </c>
      <c r="AK86" s="77" t="n">
        <f aca="false">IFERROR(__xludf.dummyfunction("""COMPUTED_VALUE"""),0)</f>
        <v>0</v>
      </c>
      <c r="AL86" s="77" t="n">
        <f aca="false">IFERROR(__xludf.dummyfunction("""COMPUTED_VALUE"""),0)</f>
        <v>0</v>
      </c>
      <c r="AM86" s="77" t="n">
        <f aca="false">IFERROR(__xludf.dummyfunction("""COMPUTED_VALUE"""),0)</f>
        <v>0</v>
      </c>
      <c r="AN86" s="77" t="n">
        <f aca="false">IFERROR(__xludf.dummyfunction("""COMPUTED_VALUE"""),0)</f>
        <v>0</v>
      </c>
      <c r="AO86" s="77" t="n">
        <f aca="false">IFERROR(__xludf.dummyfunction("""COMPUTED_VALUE"""),0)</f>
        <v>0</v>
      </c>
      <c r="AP86" s="77" t="n">
        <f aca="false">IFERROR(__xludf.dummyfunction("""COMPUTED_VALUE"""),0)</f>
        <v>0</v>
      </c>
      <c r="AQ86" s="77" t="n">
        <f aca="false">IFERROR(__xludf.dummyfunction("""COMPUTED_VALUE"""),0)</f>
        <v>0</v>
      </c>
      <c r="AR86" s="77" t="n">
        <f aca="false">IFERROR(__xludf.dummyfunction("""COMPUTED_VALUE"""),0)</f>
        <v>0</v>
      </c>
      <c r="AS86" s="77" t="n">
        <f aca="false">IFERROR(__xludf.dummyfunction("""COMPUTED_VALUE"""),0)</f>
        <v>0</v>
      </c>
      <c r="AT86" s="77" t="n">
        <f aca="false">IFERROR(__xludf.dummyfunction("""COMPUTED_VALUE"""),0)</f>
        <v>0</v>
      </c>
      <c r="AU86" s="77" t="n">
        <f aca="false">IFERROR(__xludf.dummyfunction("""COMPUTED_VALUE"""),0)</f>
        <v>0</v>
      </c>
      <c r="AV86" s="77" t="n">
        <f aca="false">IFERROR(__xludf.dummyfunction("""COMPUTED_VALUE"""),0)</f>
        <v>0</v>
      </c>
      <c r="AW86" s="77" t="n">
        <f aca="false">IFERROR(__xludf.dummyfunction("""COMPUTED_VALUE"""),0)</f>
        <v>0</v>
      </c>
      <c r="AX86" s="77" t="n">
        <f aca="false">IFERROR(__xludf.dummyfunction("""COMPUTED_VALUE"""),0)</f>
        <v>0</v>
      </c>
      <c r="AY86" s="77" t="n">
        <f aca="false">IFERROR(__xludf.dummyfunction("""COMPUTED_VALUE"""),0)</f>
        <v>0</v>
      </c>
      <c r="AZ86" s="77" t="n">
        <f aca="false">IFERROR(__xludf.dummyfunction("""COMPUTED_VALUE"""),0)</f>
        <v>0</v>
      </c>
      <c r="BA86" s="77" t="n">
        <f aca="false">IFERROR(__xludf.dummyfunction("""COMPUTED_VALUE"""),0)</f>
        <v>0</v>
      </c>
    </row>
    <row r="87" customFormat="false" ht="15.75" hidden="false" customHeight="false" outlineLevel="0" collapsed="false">
      <c r="A87" s="78" t="str">
        <f aca="false">IFERROR(__xludf.dummyfunction("""COMPUTED_VALUE"""),"feature_sq_ft")</f>
        <v>feature_sq_ft</v>
      </c>
      <c r="B87" s="72" t="n">
        <f aca="false">IFERROR(__xludf.dummyfunction("""COMPUTED_VALUE"""),0)</f>
        <v>0</v>
      </c>
      <c r="C87" s="73" t="n">
        <f aca="false">IFERROR(__xludf.dummyfunction("""COMPUTED_VALUE"""),0)</f>
        <v>0</v>
      </c>
      <c r="D87" s="70" t="n">
        <f aca="false">IFERROR(__xludf.dummyfunction("""COMPUTED_VALUE"""),0)</f>
        <v>0</v>
      </c>
      <c r="E87" s="70" t="n">
        <f aca="false">IFERROR(__xludf.dummyfunction("""COMPUTED_VALUE"""),0)</f>
        <v>0</v>
      </c>
      <c r="F87" s="70" t="n">
        <f aca="false">IFERROR(__xludf.dummyfunction("""COMPUTED_VALUE"""),0)</f>
        <v>0</v>
      </c>
      <c r="G87" s="70" t="n">
        <f aca="false">IFERROR(__xludf.dummyfunction("""COMPUTED_VALUE"""),0)</f>
        <v>0</v>
      </c>
      <c r="H87" s="70" t="n">
        <f aca="false">IFERROR(__xludf.dummyfunction("""COMPUTED_VALUE"""),0)</f>
        <v>0</v>
      </c>
      <c r="I87" s="70" t="n">
        <f aca="false">IFERROR(__xludf.dummyfunction("""COMPUTED_VALUE"""),0)</f>
        <v>0</v>
      </c>
      <c r="J87" s="70" t="n">
        <f aca="false">IFERROR(__xludf.dummyfunction("""COMPUTED_VALUE"""),0)</f>
        <v>0</v>
      </c>
      <c r="K87" s="70" t="n">
        <f aca="false">IFERROR(__xludf.dummyfunction("""COMPUTED_VALUE"""),0)</f>
        <v>0</v>
      </c>
      <c r="L87" s="70" t="n">
        <f aca="false">IFERROR(__xludf.dummyfunction("""COMPUTED_VALUE"""),0)</f>
        <v>0</v>
      </c>
      <c r="M87" s="70" t="n">
        <f aca="false">IFERROR(__xludf.dummyfunction("""COMPUTED_VALUE"""),0)</f>
        <v>0</v>
      </c>
      <c r="N87" s="70" t="n">
        <f aca="false">IFERROR(__xludf.dummyfunction("""COMPUTED_VALUE"""),0)</f>
        <v>0</v>
      </c>
      <c r="O87" s="70" t="n">
        <f aca="false">IFERROR(__xludf.dummyfunction("""COMPUTED_VALUE"""),0)</f>
        <v>0</v>
      </c>
      <c r="P87" s="70" t="n">
        <f aca="false">IFERROR(__xludf.dummyfunction("""COMPUTED_VALUE"""),0)</f>
        <v>0</v>
      </c>
      <c r="Q87" s="70" t="n">
        <f aca="false">IFERROR(__xludf.dummyfunction("""COMPUTED_VALUE"""),0)</f>
        <v>0</v>
      </c>
      <c r="R87" s="70" t="n">
        <f aca="false">IFERROR(__xludf.dummyfunction("""COMPUTED_VALUE"""),0)</f>
        <v>0</v>
      </c>
      <c r="S87" s="70" t="n">
        <f aca="false">IFERROR(__xludf.dummyfunction("""COMPUTED_VALUE"""),0)</f>
        <v>0</v>
      </c>
      <c r="T87" s="70" t="n">
        <f aca="false">IFERROR(__xludf.dummyfunction("""COMPUTED_VALUE"""),0)</f>
        <v>0</v>
      </c>
      <c r="U87" s="70" t="n">
        <f aca="false">IFERROR(__xludf.dummyfunction("""COMPUTED_VALUE"""),0)</f>
        <v>0</v>
      </c>
      <c r="V87" s="70" t="n">
        <f aca="false">IFERROR(__xludf.dummyfunction("""COMPUTED_VALUE"""),0)</f>
        <v>0</v>
      </c>
      <c r="W87" s="70" t="n">
        <f aca="false">IFERROR(__xludf.dummyfunction("""COMPUTED_VALUE"""),0)</f>
        <v>0</v>
      </c>
      <c r="X87" s="70" t="n">
        <f aca="false">IFERROR(__xludf.dummyfunction("""COMPUTED_VALUE"""),0)</f>
        <v>0</v>
      </c>
      <c r="Y87" s="70" t="n">
        <f aca="false">IFERROR(__xludf.dummyfunction("""COMPUTED_VALUE"""),0)</f>
        <v>0</v>
      </c>
      <c r="Z87" s="70" t="n">
        <f aca="false">IFERROR(__xludf.dummyfunction("""COMPUTED_VALUE"""),0)</f>
        <v>0</v>
      </c>
      <c r="AA87" s="70" t="n">
        <f aca="false">IFERROR(__xludf.dummyfunction("""COMPUTED_VALUE"""),0)</f>
        <v>0</v>
      </c>
      <c r="AB87" s="70" t="n">
        <f aca="false">IFERROR(__xludf.dummyfunction("""COMPUTED_VALUE"""),0)</f>
        <v>0</v>
      </c>
      <c r="AC87" s="70" t="n">
        <f aca="false">IFERROR(__xludf.dummyfunction("""COMPUTED_VALUE"""),0)</f>
        <v>0</v>
      </c>
      <c r="AD87" s="70" t="n">
        <f aca="false">IFERROR(__xludf.dummyfunction("""COMPUTED_VALUE"""),0)</f>
        <v>0</v>
      </c>
      <c r="AE87" s="70" t="n">
        <f aca="false">IFERROR(__xludf.dummyfunction("""COMPUTED_VALUE"""),0)</f>
        <v>0</v>
      </c>
      <c r="AF87" s="70" t="n">
        <f aca="false">IFERROR(__xludf.dummyfunction("""COMPUTED_VALUE"""),0)</f>
        <v>0</v>
      </c>
      <c r="AG87" s="70" t="n">
        <f aca="false">IFERROR(__xludf.dummyfunction("""COMPUTED_VALUE"""),0)</f>
        <v>0</v>
      </c>
      <c r="AH87" s="70" t="n">
        <f aca="false">IFERROR(__xludf.dummyfunction("""COMPUTED_VALUE"""),0)</f>
        <v>0</v>
      </c>
      <c r="AI87" s="70" t="n">
        <f aca="false">IFERROR(__xludf.dummyfunction("""COMPUTED_VALUE"""),0)</f>
        <v>0</v>
      </c>
      <c r="AJ87" s="70" t="n">
        <f aca="false">IFERROR(__xludf.dummyfunction("""COMPUTED_VALUE"""),0)</f>
        <v>0</v>
      </c>
      <c r="AK87" s="70" t="n">
        <f aca="false">IFERROR(__xludf.dummyfunction("""COMPUTED_VALUE"""),0)</f>
        <v>0</v>
      </c>
      <c r="AL87" s="70" t="n">
        <f aca="false">IFERROR(__xludf.dummyfunction("""COMPUTED_VALUE"""),0)</f>
        <v>0</v>
      </c>
      <c r="AM87" s="70" t="n">
        <f aca="false">IFERROR(__xludf.dummyfunction("""COMPUTED_VALUE"""),0)</f>
        <v>0</v>
      </c>
      <c r="AN87" s="70" t="n">
        <f aca="false">IFERROR(__xludf.dummyfunction("""COMPUTED_VALUE"""),0)</f>
        <v>0</v>
      </c>
      <c r="AO87" s="70" t="n">
        <f aca="false">IFERROR(__xludf.dummyfunction("""COMPUTED_VALUE"""),0)</f>
        <v>0</v>
      </c>
      <c r="AP87" s="70" t="n">
        <f aca="false">IFERROR(__xludf.dummyfunction("""COMPUTED_VALUE"""),0)</f>
        <v>0</v>
      </c>
      <c r="AQ87" s="70" t="n">
        <f aca="false">IFERROR(__xludf.dummyfunction("""COMPUTED_VALUE"""),0)</f>
        <v>0</v>
      </c>
      <c r="AR87" s="70" t="n">
        <f aca="false">IFERROR(__xludf.dummyfunction("""COMPUTED_VALUE"""),0)</f>
        <v>0</v>
      </c>
      <c r="AS87" s="70" t="n">
        <f aca="false">IFERROR(__xludf.dummyfunction("""COMPUTED_VALUE"""),0)</f>
        <v>0</v>
      </c>
      <c r="AT87" s="70" t="n">
        <f aca="false">IFERROR(__xludf.dummyfunction("""COMPUTED_VALUE"""),0)</f>
        <v>0</v>
      </c>
      <c r="AU87" s="70" t="n">
        <f aca="false">IFERROR(__xludf.dummyfunction("""COMPUTED_VALUE"""),0)</f>
        <v>0</v>
      </c>
      <c r="AV87" s="70" t="n">
        <f aca="false">IFERROR(__xludf.dummyfunction("""COMPUTED_VALUE"""),0)</f>
        <v>0</v>
      </c>
      <c r="AW87" s="70" t="n">
        <f aca="false">IFERROR(__xludf.dummyfunction("""COMPUTED_VALUE"""),0)</f>
        <v>0</v>
      </c>
      <c r="AX87" s="70" t="n">
        <f aca="false">IFERROR(__xludf.dummyfunction("""COMPUTED_VALUE"""),0)</f>
        <v>0</v>
      </c>
      <c r="AY87" s="70" t="n">
        <f aca="false">IFERROR(__xludf.dummyfunction("""COMPUTED_VALUE"""),0)</f>
        <v>0</v>
      </c>
      <c r="AZ87" s="70" t="n">
        <f aca="false">IFERROR(__xludf.dummyfunction("""COMPUTED_VALUE"""),0)</f>
        <v>0</v>
      </c>
      <c r="BA87" s="70" t="n">
        <f aca="false">IFERROR(__xludf.dummyfunction("""COMPUTED_VALUE"""),0)</f>
        <v>0</v>
      </c>
    </row>
    <row r="88" customFormat="false" ht="15.75" hidden="false" customHeight="false" outlineLevel="0" collapsed="false">
      <c r="B88" s="59"/>
      <c r="C88" s="79"/>
      <c r="D88" s="80"/>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row>
    <row r="89" customFormat="false" ht="15.75" hidden="false" customHeight="false" outlineLevel="0" collapsed="false">
      <c r="A89" s="74" t="s">
        <v>1814</v>
      </c>
      <c r="B89" s="7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row>
    <row r="90" customFormat="false" ht="15.75" hidden="false" customHeight="false" outlineLevel="0" collapsed="false">
      <c r="A90" s="75" t="str">
        <f aca="false">IFERROR(__xludf.dummyfunction("TRANSPOSE(IMPORTRANGE(""https://docs.google.com/spreadsheets/d/1GKhz9pSyUWFf4Xrp7ACbjr4UA3dMq6VxKG1OCLWM9yA"", ""'Other Improvements'!F4:G56""))"),"impr_type")</f>
        <v>impr_type</v>
      </c>
      <c r="B90" s="56" t="n">
        <f aca="false">IFERROR(__xludf.dummyfunction("""COMPUTED_VALUE"""),0)</f>
        <v>0</v>
      </c>
      <c r="C90" s="76" t="n">
        <f aca="false">IFERROR(__xludf.dummyfunction("""COMPUTED_VALUE"""),0)</f>
        <v>0</v>
      </c>
      <c r="D90" s="77" t="n">
        <f aca="false">IFERROR(__xludf.dummyfunction("""COMPUTED_VALUE"""),0)</f>
        <v>0</v>
      </c>
      <c r="E90" s="77" t="n">
        <f aca="false">IFERROR(__xludf.dummyfunction("""COMPUTED_VALUE"""),0)</f>
        <v>0</v>
      </c>
      <c r="F90" s="77" t="n">
        <f aca="false">IFERROR(__xludf.dummyfunction("""COMPUTED_VALUE"""),0)</f>
        <v>0</v>
      </c>
      <c r="G90" s="77" t="n">
        <f aca="false">IFERROR(__xludf.dummyfunction("""COMPUTED_VALUE"""),0)</f>
        <v>0</v>
      </c>
      <c r="H90" s="77" t="n">
        <f aca="false">IFERROR(__xludf.dummyfunction("""COMPUTED_VALUE"""),0)</f>
        <v>0</v>
      </c>
      <c r="I90" s="77" t="n">
        <f aca="false">IFERROR(__xludf.dummyfunction("""COMPUTED_VALUE"""),0)</f>
        <v>0</v>
      </c>
      <c r="J90" s="77" t="n">
        <f aca="false">IFERROR(__xludf.dummyfunction("""COMPUTED_VALUE"""),0)</f>
        <v>0</v>
      </c>
      <c r="K90" s="77" t="n">
        <f aca="false">IFERROR(__xludf.dummyfunction("""COMPUTED_VALUE"""),0)</f>
        <v>0</v>
      </c>
      <c r="L90" s="77" t="n">
        <f aca="false">IFERROR(__xludf.dummyfunction("""COMPUTED_VALUE"""),0)</f>
        <v>0</v>
      </c>
      <c r="M90" s="77" t="n">
        <f aca="false">IFERROR(__xludf.dummyfunction("""COMPUTED_VALUE"""),0)</f>
        <v>0</v>
      </c>
      <c r="N90" s="77" t="n">
        <f aca="false">IFERROR(__xludf.dummyfunction("""COMPUTED_VALUE"""),0)</f>
        <v>0</v>
      </c>
      <c r="O90" s="77" t="n">
        <f aca="false">IFERROR(__xludf.dummyfunction("""COMPUTED_VALUE"""),0)</f>
        <v>0</v>
      </c>
      <c r="P90" s="77" t="n">
        <f aca="false">IFERROR(__xludf.dummyfunction("""COMPUTED_VALUE"""),0)</f>
        <v>0</v>
      </c>
      <c r="Q90" s="77" t="n">
        <f aca="false">IFERROR(__xludf.dummyfunction("""COMPUTED_VALUE"""),0)</f>
        <v>0</v>
      </c>
      <c r="R90" s="77" t="n">
        <f aca="false">IFERROR(__xludf.dummyfunction("""COMPUTED_VALUE"""),0)</f>
        <v>0</v>
      </c>
      <c r="S90" s="77" t="n">
        <f aca="false">IFERROR(__xludf.dummyfunction("""COMPUTED_VALUE"""),0)</f>
        <v>0</v>
      </c>
      <c r="T90" s="77" t="n">
        <f aca="false">IFERROR(__xludf.dummyfunction("""COMPUTED_VALUE"""),0)</f>
        <v>0</v>
      </c>
      <c r="U90" s="77" t="n">
        <f aca="false">IFERROR(__xludf.dummyfunction("""COMPUTED_VALUE"""),0)</f>
        <v>0</v>
      </c>
      <c r="V90" s="77" t="n">
        <f aca="false">IFERROR(__xludf.dummyfunction("""COMPUTED_VALUE"""),0)</f>
        <v>0</v>
      </c>
      <c r="W90" s="77" t="n">
        <f aca="false">IFERROR(__xludf.dummyfunction("""COMPUTED_VALUE"""),0)</f>
        <v>0</v>
      </c>
      <c r="X90" s="77" t="n">
        <f aca="false">IFERROR(__xludf.dummyfunction("""COMPUTED_VALUE"""),0)</f>
        <v>0</v>
      </c>
      <c r="Y90" s="77" t="n">
        <f aca="false">IFERROR(__xludf.dummyfunction("""COMPUTED_VALUE"""),0)</f>
        <v>0</v>
      </c>
      <c r="Z90" s="77" t="n">
        <f aca="false">IFERROR(__xludf.dummyfunction("""COMPUTED_VALUE"""),0)</f>
        <v>0</v>
      </c>
      <c r="AA90" s="77" t="n">
        <f aca="false">IFERROR(__xludf.dummyfunction("""COMPUTED_VALUE"""),0)</f>
        <v>0</v>
      </c>
      <c r="AB90" s="77" t="n">
        <f aca="false">IFERROR(__xludf.dummyfunction("""COMPUTED_VALUE"""),0)</f>
        <v>0</v>
      </c>
      <c r="AC90" s="77" t="n">
        <f aca="false">IFERROR(__xludf.dummyfunction("""COMPUTED_VALUE"""),0)</f>
        <v>0</v>
      </c>
      <c r="AD90" s="77" t="n">
        <f aca="false">IFERROR(__xludf.dummyfunction("""COMPUTED_VALUE"""),0)</f>
        <v>0</v>
      </c>
      <c r="AE90" s="77" t="n">
        <f aca="false">IFERROR(__xludf.dummyfunction("""COMPUTED_VALUE"""),0)</f>
        <v>0</v>
      </c>
      <c r="AF90" s="77" t="n">
        <f aca="false">IFERROR(__xludf.dummyfunction("""COMPUTED_VALUE"""),0)</f>
        <v>0</v>
      </c>
      <c r="AG90" s="77" t="n">
        <f aca="false">IFERROR(__xludf.dummyfunction("""COMPUTED_VALUE"""),0)</f>
        <v>0</v>
      </c>
      <c r="AH90" s="77" t="n">
        <f aca="false">IFERROR(__xludf.dummyfunction("""COMPUTED_VALUE"""),0)</f>
        <v>0</v>
      </c>
      <c r="AI90" s="77" t="n">
        <f aca="false">IFERROR(__xludf.dummyfunction("""COMPUTED_VALUE"""),0)</f>
        <v>0</v>
      </c>
      <c r="AJ90" s="77" t="n">
        <f aca="false">IFERROR(__xludf.dummyfunction("""COMPUTED_VALUE"""),0)</f>
        <v>0</v>
      </c>
      <c r="AK90" s="77" t="n">
        <f aca="false">IFERROR(__xludf.dummyfunction("""COMPUTED_VALUE"""),0)</f>
        <v>0</v>
      </c>
      <c r="AL90" s="77" t="n">
        <f aca="false">IFERROR(__xludf.dummyfunction("""COMPUTED_VALUE"""),0)</f>
        <v>0</v>
      </c>
      <c r="AM90" s="77" t="n">
        <f aca="false">IFERROR(__xludf.dummyfunction("""COMPUTED_VALUE"""),0)</f>
        <v>0</v>
      </c>
      <c r="AN90" s="77" t="n">
        <f aca="false">IFERROR(__xludf.dummyfunction("""COMPUTED_VALUE"""),0)</f>
        <v>0</v>
      </c>
      <c r="AO90" s="77" t="n">
        <f aca="false">IFERROR(__xludf.dummyfunction("""COMPUTED_VALUE"""),0)</f>
        <v>0</v>
      </c>
      <c r="AP90" s="77" t="n">
        <f aca="false">IFERROR(__xludf.dummyfunction("""COMPUTED_VALUE"""),0)</f>
        <v>0</v>
      </c>
      <c r="AQ90" s="77" t="n">
        <f aca="false">IFERROR(__xludf.dummyfunction("""COMPUTED_VALUE"""),0)</f>
        <v>0</v>
      </c>
      <c r="AR90" s="77" t="n">
        <f aca="false">IFERROR(__xludf.dummyfunction("""COMPUTED_VALUE"""),0)</f>
        <v>0</v>
      </c>
      <c r="AS90" s="77" t="n">
        <f aca="false">IFERROR(__xludf.dummyfunction("""COMPUTED_VALUE"""),0)</f>
        <v>0</v>
      </c>
      <c r="AT90" s="77" t="n">
        <f aca="false">IFERROR(__xludf.dummyfunction("""COMPUTED_VALUE"""),0)</f>
        <v>0</v>
      </c>
      <c r="AU90" s="77" t="n">
        <f aca="false">IFERROR(__xludf.dummyfunction("""COMPUTED_VALUE"""),0)</f>
        <v>0</v>
      </c>
      <c r="AV90" s="77" t="n">
        <f aca="false">IFERROR(__xludf.dummyfunction("""COMPUTED_VALUE"""),0)</f>
        <v>0</v>
      </c>
      <c r="AW90" s="77" t="n">
        <f aca="false">IFERROR(__xludf.dummyfunction("""COMPUTED_VALUE"""),0)</f>
        <v>0</v>
      </c>
      <c r="AX90" s="77" t="n">
        <f aca="false">IFERROR(__xludf.dummyfunction("""COMPUTED_VALUE"""),0)</f>
        <v>0</v>
      </c>
      <c r="AY90" s="77" t="n">
        <f aca="false">IFERROR(__xludf.dummyfunction("""COMPUTED_VALUE"""),0)</f>
        <v>0</v>
      </c>
      <c r="AZ90" s="77" t="n">
        <f aca="false">IFERROR(__xludf.dummyfunction("""COMPUTED_VALUE"""),0)</f>
        <v>0</v>
      </c>
      <c r="BA90" s="77" t="n">
        <f aca="false">IFERROR(__xludf.dummyfunction("""COMPUTED_VALUE"""),0)</f>
        <v>0</v>
      </c>
    </row>
    <row r="91" customFormat="false" ht="15.75" hidden="false" customHeight="false" outlineLevel="0" collapsed="false">
      <c r="A91" s="78" t="str">
        <f aca="false">IFERROR(__xludf.dummyfunction("""COMPUTED_VALUE"""),"impr_sq_ft")</f>
        <v>impr_sq_ft</v>
      </c>
      <c r="B91" s="72" t="n">
        <f aca="false">IFERROR(__xludf.dummyfunction("""COMPUTED_VALUE"""),0)</f>
        <v>0</v>
      </c>
      <c r="C91" s="73" t="n">
        <f aca="false">IFERROR(__xludf.dummyfunction("""COMPUTED_VALUE"""),0)</f>
        <v>0</v>
      </c>
      <c r="D91" s="70" t="n">
        <f aca="false">IFERROR(__xludf.dummyfunction("""COMPUTED_VALUE"""),0)</f>
        <v>0</v>
      </c>
      <c r="E91" s="70" t="n">
        <f aca="false">IFERROR(__xludf.dummyfunction("""COMPUTED_VALUE"""),0)</f>
        <v>0</v>
      </c>
      <c r="F91" s="70" t="n">
        <f aca="false">IFERROR(__xludf.dummyfunction("""COMPUTED_VALUE"""),0)</f>
        <v>0</v>
      </c>
      <c r="G91" s="70" t="n">
        <f aca="false">IFERROR(__xludf.dummyfunction("""COMPUTED_VALUE"""),0)</f>
        <v>0</v>
      </c>
      <c r="H91" s="70" t="n">
        <f aca="false">IFERROR(__xludf.dummyfunction("""COMPUTED_VALUE"""),0)</f>
        <v>0</v>
      </c>
      <c r="I91" s="70" t="n">
        <f aca="false">IFERROR(__xludf.dummyfunction("""COMPUTED_VALUE"""),0)</f>
        <v>0</v>
      </c>
      <c r="J91" s="70" t="n">
        <f aca="false">IFERROR(__xludf.dummyfunction("""COMPUTED_VALUE"""),0)</f>
        <v>0</v>
      </c>
      <c r="K91" s="70" t="n">
        <f aca="false">IFERROR(__xludf.dummyfunction("""COMPUTED_VALUE"""),0)</f>
        <v>0</v>
      </c>
      <c r="L91" s="70" t="n">
        <f aca="false">IFERROR(__xludf.dummyfunction("""COMPUTED_VALUE"""),0)</f>
        <v>0</v>
      </c>
      <c r="M91" s="70" t="n">
        <f aca="false">IFERROR(__xludf.dummyfunction("""COMPUTED_VALUE"""),0)</f>
        <v>0</v>
      </c>
      <c r="N91" s="70" t="n">
        <f aca="false">IFERROR(__xludf.dummyfunction("""COMPUTED_VALUE"""),0)</f>
        <v>0</v>
      </c>
      <c r="O91" s="70" t="n">
        <f aca="false">IFERROR(__xludf.dummyfunction("""COMPUTED_VALUE"""),0)</f>
        <v>0</v>
      </c>
      <c r="P91" s="70" t="n">
        <f aca="false">IFERROR(__xludf.dummyfunction("""COMPUTED_VALUE"""),0)</f>
        <v>0</v>
      </c>
      <c r="Q91" s="70" t="n">
        <f aca="false">IFERROR(__xludf.dummyfunction("""COMPUTED_VALUE"""),0)</f>
        <v>0</v>
      </c>
      <c r="R91" s="70" t="n">
        <f aca="false">IFERROR(__xludf.dummyfunction("""COMPUTED_VALUE"""),0)</f>
        <v>0</v>
      </c>
      <c r="S91" s="70" t="n">
        <f aca="false">IFERROR(__xludf.dummyfunction("""COMPUTED_VALUE"""),0)</f>
        <v>0</v>
      </c>
      <c r="T91" s="70" t="n">
        <f aca="false">IFERROR(__xludf.dummyfunction("""COMPUTED_VALUE"""),0)</f>
        <v>0</v>
      </c>
      <c r="U91" s="70" t="n">
        <f aca="false">IFERROR(__xludf.dummyfunction("""COMPUTED_VALUE"""),0)</f>
        <v>0</v>
      </c>
      <c r="V91" s="70" t="n">
        <f aca="false">IFERROR(__xludf.dummyfunction("""COMPUTED_VALUE"""),0)</f>
        <v>0</v>
      </c>
      <c r="W91" s="70" t="n">
        <f aca="false">IFERROR(__xludf.dummyfunction("""COMPUTED_VALUE"""),0)</f>
        <v>0</v>
      </c>
      <c r="X91" s="70" t="n">
        <f aca="false">IFERROR(__xludf.dummyfunction("""COMPUTED_VALUE"""),0)</f>
        <v>0</v>
      </c>
      <c r="Y91" s="70" t="n">
        <f aca="false">IFERROR(__xludf.dummyfunction("""COMPUTED_VALUE"""),0)</f>
        <v>0</v>
      </c>
      <c r="Z91" s="70" t="n">
        <f aca="false">IFERROR(__xludf.dummyfunction("""COMPUTED_VALUE"""),0)</f>
        <v>0</v>
      </c>
      <c r="AA91" s="70" t="n">
        <f aca="false">IFERROR(__xludf.dummyfunction("""COMPUTED_VALUE"""),0)</f>
        <v>0</v>
      </c>
      <c r="AB91" s="70" t="n">
        <f aca="false">IFERROR(__xludf.dummyfunction("""COMPUTED_VALUE"""),0)</f>
        <v>0</v>
      </c>
      <c r="AC91" s="70" t="n">
        <f aca="false">IFERROR(__xludf.dummyfunction("""COMPUTED_VALUE"""),0)</f>
        <v>0</v>
      </c>
      <c r="AD91" s="70" t="n">
        <f aca="false">IFERROR(__xludf.dummyfunction("""COMPUTED_VALUE"""),0)</f>
        <v>0</v>
      </c>
      <c r="AE91" s="70" t="n">
        <f aca="false">IFERROR(__xludf.dummyfunction("""COMPUTED_VALUE"""),0)</f>
        <v>0</v>
      </c>
      <c r="AF91" s="70" t="n">
        <f aca="false">IFERROR(__xludf.dummyfunction("""COMPUTED_VALUE"""),0)</f>
        <v>0</v>
      </c>
      <c r="AG91" s="70" t="n">
        <f aca="false">IFERROR(__xludf.dummyfunction("""COMPUTED_VALUE"""),0)</f>
        <v>0</v>
      </c>
      <c r="AH91" s="70" t="n">
        <f aca="false">IFERROR(__xludf.dummyfunction("""COMPUTED_VALUE"""),0)</f>
        <v>0</v>
      </c>
      <c r="AI91" s="70" t="n">
        <f aca="false">IFERROR(__xludf.dummyfunction("""COMPUTED_VALUE"""),0)</f>
        <v>0</v>
      </c>
      <c r="AJ91" s="70" t="n">
        <f aca="false">IFERROR(__xludf.dummyfunction("""COMPUTED_VALUE"""),0)</f>
        <v>0</v>
      </c>
      <c r="AK91" s="70" t="n">
        <f aca="false">IFERROR(__xludf.dummyfunction("""COMPUTED_VALUE"""),0)</f>
        <v>0</v>
      </c>
      <c r="AL91" s="70" t="n">
        <f aca="false">IFERROR(__xludf.dummyfunction("""COMPUTED_VALUE"""),0)</f>
        <v>0</v>
      </c>
      <c r="AM91" s="70" t="n">
        <f aca="false">IFERROR(__xludf.dummyfunction("""COMPUTED_VALUE"""),0)</f>
        <v>0</v>
      </c>
      <c r="AN91" s="70" t="n">
        <f aca="false">IFERROR(__xludf.dummyfunction("""COMPUTED_VALUE"""),0)</f>
        <v>0</v>
      </c>
      <c r="AO91" s="70" t="n">
        <f aca="false">IFERROR(__xludf.dummyfunction("""COMPUTED_VALUE"""),0)</f>
        <v>0</v>
      </c>
      <c r="AP91" s="70" t="n">
        <f aca="false">IFERROR(__xludf.dummyfunction("""COMPUTED_VALUE"""),0)</f>
        <v>0</v>
      </c>
      <c r="AQ91" s="70" t="n">
        <f aca="false">IFERROR(__xludf.dummyfunction("""COMPUTED_VALUE"""),0)</f>
        <v>0</v>
      </c>
      <c r="AR91" s="70" t="n">
        <f aca="false">IFERROR(__xludf.dummyfunction("""COMPUTED_VALUE"""),0)</f>
        <v>0</v>
      </c>
      <c r="AS91" s="70" t="n">
        <f aca="false">IFERROR(__xludf.dummyfunction("""COMPUTED_VALUE"""),0)</f>
        <v>0</v>
      </c>
      <c r="AT91" s="70" t="n">
        <f aca="false">IFERROR(__xludf.dummyfunction("""COMPUTED_VALUE"""),0)</f>
        <v>0</v>
      </c>
      <c r="AU91" s="70" t="n">
        <f aca="false">IFERROR(__xludf.dummyfunction("""COMPUTED_VALUE"""),0)</f>
        <v>0</v>
      </c>
      <c r="AV91" s="70" t="n">
        <f aca="false">IFERROR(__xludf.dummyfunction("""COMPUTED_VALUE"""),0)</f>
        <v>0</v>
      </c>
      <c r="AW91" s="70" t="n">
        <f aca="false">IFERROR(__xludf.dummyfunction("""COMPUTED_VALUE"""),0)</f>
        <v>0</v>
      </c>
      <c r="AX91" s="70" t="n">
        <f aca="false">IFERROR(__xludf.dummyfunction("""COMPUTED_VALUE"""),0)</f>
        <v>0</v>
      </c>
      <c r="AY91" s="70" t="n">
        <f aca="false">IFERROR(__xludf.dummyfunction("""COMPUTED_VALUE"""),0)</f>
        <v>0</v>
      </c>
      <c r="AZ91" s="70" t="n">
        <f aca="false">IFERROR(__xludf.dummyfunction("""COMPUTED_VALUE"""),0)</f>
        <v>0</v>
      </c>
      <c r="BA91" s="70" t="n">
        <f aca="false">IFERROR(__xludf.dummyfunction("""COMPUTED_VALUE"""),0)</f>
        <v>0</v>
      </c>
    </row>
    <row r="92" customFormat="false" ht="15.75" hidden="false" customHeight="false" outlineLevel="0" collapsed="false">
      <c r="B92" s="59"/>
      <c r="C92" s="79"/>
      <c r="D92" s="80"/>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row>
    <row r="93" customFormat="false" ht="15.75" hidden="false" customHeight="false" outlineLevel="0" collapsed="false">
      <c r="A93" s="74" t="s">
        <v>1815</v>
      </c>
      <c r="B93" s="7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row>
    <row r="94" customFormat="false" ht="15.75" hidden="false" customHeight="false" outlineLevel="0" collapsed="false">
      <c r="A94" s="75" t="str">
        <f aca="false">IFERROR(__xludf.dummyfunction("TRANSPOSE(IMPORTRANGE(""https://docs.google.com/spreadsheets/d/1GKhz9pSyUWFf4Xrp7ACbjr4UA3dMq6VxKG1OCLWM9yA"", ""'Taxes'!F4:I56""))"),"year")</f>
        <v>year</v>
      </c>
      <c r="B94" s="56" t="n">
        <f aca="false">IFERROR(__xludf.dummyfunction("""COMPUTED_VALUE"""),30165248)</f>
        <v>30165248</v>
      </c>
      <c r="C94" s="76" t="n">
        <f aca="false">IFERROR(__xludf.dummyfunction("""COMPUTED_VALUE"""),677114)</f>
        <v>677114</v>
      </c>
      <c r="D94" s="77" t="n">
        <f aca="false">IFERROR(__xludf.dummyfunction("""COMPUTED_VALUE"""),68041)</f>
        <v>68041</v>
      </c>
      <c r="E94" s="77" t="n">
        <f aca="false">IFERROR(__xludf.dummyfunction("""COMPUTED_VALUE"""),702861)</f>
        <v>702861</v>
      </c>
      <c r="F94" s="77" t="n">
        <f aca="false">IFERROR(__xludf.dummyfunction("""COMPUTED_VALUE"""),832576)</f>
        <v>832576</v>
      </c>
      <c r="G94" s="77" t="n">
        <f aca="false">IFERROR(__xludf.dummyfunction("""COMPUTED_VALUE"""),1817257)</f>
        <v>1817257</v>
      </c>
      <c r="H94" s="77" t="n">
        <f aca="false">IFERROR(__xludf.dummyfunction("""COMPUTED_VALUE"""),492665)</f>
        <v>492665</v>
      </c>
      <c r="I94" s="77" t="n">
        <f aca="false">IFERROR(__xludf.dummyfunction("""COMPUTED_VALUE"""),182367)</f>
        <v>182367</v>
      </c>
      <c r="J94" s="77" t="n">
        <f aca="false">IFERROR(__xludf.dummyfunction("""COMPUTED_VALUE"""),57629)</f>
        <v>57629</v>
      </c>
      <c r="K94" s="77" t="n">
        <f aca="false">IFERROR(__xludf.dummyfunction("""COMPUTED_VALUE"""),30022)</f>
        <v>30022</v>
      </c>
      <c r="L94" s="77" t="n">
        <f aca="false">IFERROR(__xludf.dummyfunction("""COMPUTED_VALUE"""),1815727)</f>
        <v>1815727</v>
      </c>
      <c r="M94" s="77" t="n">
        <f aca="false">IFERROR(__xludf.dummyfunction("""COMPUTED_VALUE"""),531363)</f>
        <v>531363</v>
      </c>
      <c r="N94" s="77" t="n">
        <f aca="false">IFERROR(__xludf.dummyfunction("""COMPUTED_VALUE"""),91909)</f>
        <v>91909</v>
      </c>
      <c r="O94" s="77" t="n">
        <f aca="false">IFERROR(__xludf.dummyfunction("""COMPUTED_VALUE"""),188867)</f>
        <v>188867</v>
      </c>
      <c r="P94" s="77" t="n">
        <f aca="false">IFERROR(__xludf.dummyfunction("""COMPUTED_VALUE"""),1136416)</f>
        <v>1136416</v>
      </c>
      <c r="Q94" s="77" t="n">
        <f aca="false">IFERROR(__xludf.dummyfunction("""COMPUTED_VALUE"""),792819)</f>
        <v>792819</v>
      </c>
      <c r="R94" s="77" t="n">
        <f aca="false">IFERROR(__xludf.dummyfunction("""COMPUTED_VALUE"""),924300)</f>
        <v>924300</v>
      </c>
      <c r="S94" s="77" t="n">
        <f aca="false">IFERROR(__xludf.dummyfunction("""COMPUTED_VALUE"""),310996)</f>
        <v>310996</v>
      </c>
      <c r="T94" s="77" t="n">
        <f aca="false">IFERROR(__xludf.dummyfunction("""COMPUTED_VALUE"""),313867)</f>
        <v>313867</v>
      </c>
      <c r="U94" s="77" t="n">
        <f aca="false">IFERROR(__xludf.dummyfunction("""COMPUTED_VALUE"""),707782)</f>
        <v>707782</v>
      </c>
      <c r="V94" s="77" t="n">
        <f aca="false">IFERROR(__xludf.dummyfunction("""COMPUTED_VALUE"""),132708)</f>
        <v>132708</v>
      </c>
      <c r="W94" s="77" t="n">
        <f aca="false">IFERROR(__xludf.dummyfunction("""COMPUTED_VALUE"""),194449)</f>
        <v>194449</v>
      </c>
      <c r="X94" s="77" t="n">
        <f aca="false">IFERROR(__xludf.dummyfunction("""COMPUTED_VALUE"""),380412)</f>
        <v>380412</v>
      </c>
      <c r="Y94" s="77" t="n">
        <f aca="false">IFERROR(__xludf.dummyfunction("""COMPUTED_VALUE"""),607030)</f>
        <v>607030</v>
      </c>
      <c r="Z94" s="77" t="n">
        <f aca="false">IFERROR(__xludf.dummyfunction("""COMPUTED_VALUE"""),583135)</f>
        <v>583135</v>
      </c>
      <c r="AA94" s="77" t="n">
        <f aca="false">IFERROR(__xludf.dummyfunction("""COMPUTED_VALUE"""),460693)</f>
        <v>460693</v>
      </c>
      <c r="AB94" s="77" t="n">
        <f aca="false">IFERROR(__xludf.dummyfunction("""COMPUTED_VALUE"""),562296)</f>
        <v>562296</v>
      </c>
      <c r="AC94" s="77" t="n">
        <f aca="false">IFERROR(__xludf.dummyfunction("""COMPUTED_VALUE"""),293917)</f>
        <v>293917</v>
      </c>
      <c r="AD94" s="77" t="n">
        <f aca="false">IFERROR(__xludf.dummyfunction("""COMPUTED_VALUE"""),326679)</f>
        <v>326679</v>
      </c>
      <c r="AE94" s="77" t="n">
        <f aca="false">IFERROR(__xludf.dummyfunction("""COMPUTED_VALUE"""),182887)</f>
        <v>182887</v>
      </c>
      <c r="AF94" s="77" t="n">
        <f aca="false">IFERROR(__xludf.dummyfunction("""COMPUTED_VALUE"""),127532)</f>
        <v>127532</v>
      </c>
      <c r="AG94" s="77" t="n">
        <f aca="false">IFERROR(__xludf.dummyfunction("""COMPUTED_VALUE"""),319376)</f>
        <v>319376</v>
      </c>
      <c r="AH94" s="77" t="n">
        <f aca="false">IFERROR(__xludf.dummyfunction("""COMPUTED_VALUE"""),542804)</f>
        <v>542804</v>
      </c>
      <c r="AI94" s="77" t="n">
        <f aca="false">IFERROR(__xludf.dummyfunction("""COMPUTED_VALUE"""),1057418)</f>
        <v>1057418</v>
      </c>
      <c r="AJ94" s="77" t="n">
        <f aca="false">IFERROR(__xludf.dummyfunction("""COMPUTED_VALUE"""),980562)</f>
        <v>980562</v>
      </c>
      <c r="AK94" s="77" t="n">
        <f aca="false">IFERROR(__xludf.dummyfunction("""COMPUTED_VALUE"""),415599)</f>
        <v>415599</v>
      </c>
      <c r="AL94" s="77" t="n">
        <f aca="false">IFERROR(__xludf.dummyfunction("""COMPUTED_VALUE"""),1504697)</f>
        <v>1504697</v>
      </c>
      <c r="AM94" s="77" t="n">
        <f aca="false">IFERROR(__xludf.dummyfunction("""COMPUTED_VALUE"""),454084)</f>
        <v>454084</v>
      </c>
      <c r="AN94" s="77" t="n">
        <f aca="false">IFERROR(__xludf.dummyfunction("""COMPUTED_VALUE"""),386127)</f>
        <v>386127</v>
      </c>
      <c r="AO94" s="77" t="n">
        <f aca="false">IFERROR(__xludf.dummyfunction("""COMPUTED_VALUE"""),1133552)</f>
        <v>1133552</v>
      </c>
      <c r="AP94" s="77" t="n">
        <f aca="false">IFERROR(__xludf.dummyfunction("""COMPUTED_VALUE"""),79675)</f>
        <v>79675</v>
      </c>
      <c r="AQ94" s="77" t="n">
        <f aca="false">IFERROR(__xludf.dummyfunction("""COMPUTED_VALUE"""),539898)</f>
        <v>539898</v>
      </c>
      <c r="AR94" s="77" t="n">
        <f aca="false">IFERROR(__xludf.dummyfunction("""COMPUTED_VALUE"""),188100)</f>
        <v>188100</v>
      </c>
      <c r="AS94" s="77" t="n">
        <f aca="false">IFERROR(__xludf.dummyfunction("""COMPUTED_VALUE"""),370405)</f>
        <v>370405</v>
      </c>
      <c r="AT94" s="77" t="n">
        <f aca="false">IFERROR(__xludf.dummyfunction("""COMPUTED_VALUE"""),3772873)</f>
        <v>3772873</v>
      </c>
      <c r="AU94" s="77" t="n">
        <f aca="false">IFERROR(__xludf.dummyfunction("""COMPUTED_VALUE"""),260533)</f>
        <v>260533</v>
      </c>
      <c r="AV94" s="77" t="n">
        <f aca="false">IFERROR(__xludf.dummyfunction("""COMPUTED_VALUE"""),32880)</f>
        <v>32880</v>
      </c>
      <c r="AW94" s="77" t="n">
        <f aca="false">IFERROR(__xludf.dummyfunction("""COMPUTED_VALUE"""),523464)</f>
        <v>523464</v>
      </c>
      <c r="AX94" s="77" t="n">
        <f aca="false">IFERROR(__xludf.dummyfunction("""COMPUTED_VALUE"""),609792)</f>
        <v>609792</v>
      </c>
      <c r="AY94" s="77" t="n">
        <f aca="false">IFERROR(__xludf.dummyfunction("""COMPUTED_VALUE"""),509975)</f>
        <v>509975</v>
      </c>
      <c r="AZ94" s="77" t="n">
        <f aca="false">IFERROR(__xludf.dummyfunction("""COMPUTED_VALUE"""),873903)</f>
        <v>873903</v>
      </c>
      <c r="BA94" s="77" t="n">
        <f aca="false">IFERROR(__xludf.dummyfunction("""COMPUTED_VALUE"""),83215)</f>
        <v>83215</v>
      </c>
    </row>
    <row r="95" customFormat="false" ht="15.75" hidden="false" customHeight="false" outlineLevel="0" collapsed="false">
      <c r="A95" s="78" t="str">
        <f aca="false">IFERROR(__xludf.dummyfunction("""COMPUTED_VALUE"""),"amount")</f>
        <v>amount</v>
      </c>
      <c r="B95" s="72" t="n">
        <f aca="false">IFERROR(__xludf.dummyfunction("""COMPUTED_VALUE"""),29930249)</f>
        <v>29930249</v>
      </c>
      <c r="C95" s="73" t="n">
        <f aca="false">IFERROR(__xludf.dummyfunction("""COMPUTED_VALUE"""),677114)</f>
        <v>677114</v>
      </c>
      <c r="D95" s="70" t="n">
        <f aca="false">IFERROR(__xludf.dummyfunction("""COMPUTED_VALUE"""),68041)</f>
        <v>68041</v>
      </c>
      <c r="E95" s="70" t="n">
        <f aca="false">IFERROR(__xludf.dummyfunction("""COMPUTED_VALUE"""),702861)</f>
        <v>702861</v>
      </c>
      <c r="F95" s="70" t="n">
        <f aca="false">IFERROR(__xludf.dummyfunction("""COMPUTED_VALUE"""),832576)</f>
        <v>832576</v>
      </c>
      <c r="G95" s="70" t="n">
        <f aca="false">IFERROR(__xludf.dummyfunction("""COMPUTED_VALUE"""),1817257)</f>
        <v>1817257</v>
      </c>
      <c r="H95" s="70" t="n">
        <f aca="false">IFERROR(__xludf.dummyfunction("""COMPUTED_VALUE"""),492665)</f>
        <v>492665</v>
      </c>
      <c r="I95" s="70" t="n">
        <f aca="false">IFERROR(__xludf.dummyfunction("""COMPUTED_VALUE"""),137748)</f>
        <v>137748</v>
      </c>
      <c r="J95" s="70" t="n">
        <f aca="false">IFERROR(__xludf.dummyfunction("""COMPUTED_VALUE"""),57629)</f>
        <v>57629</v>
      </c>
      <c r="K95" s="70" t="n">
        <f aca="false">IFERROR(__xludf.dummyfunction("""COMPUTED_VALUE"""),30022)</f>
        <v>30022</v>
      </c>
      <c r="L95" s="70" t="n">
        <f aca="false">IFERROR(__xludf.dummyfunction("""COMPUTED_VALUE"""),1815727)</f>
        <v>1815727</v>
      </c>
      <c r="M95" s="70" t="n">
        <f aca="false">IFERROR(__xludf.dummyfunction("""COMPUTED_VALUE"""),531322)</f>
        <v>531322</v>
      </c>
      <c r="N95" s="70" t="n">
        <f aca="false">IFERROR(__xludf.dummyfunction("""COMPUTED_VALUE"""),91909)</f>
        <v>91909</v>
      </c>
      <c r="O95" s="70" t="n">
        <f aca="false">IFERROR(__xludf.dummyfunction("""COMPUTED_VALUE"""),188867)</f>
        <v>188867</v>
      </c>
      <c r="P95" s="70" t="n">
        <f aca="false">IFERROR(__xludf.dummyfunction("""COMPUTED_VALUE"""),1136416)</f>
        <v>1136416</v>
      </c>
      <c r="Q95" s="70" t="n">
        <f aca="false">IFERROR(__xludf.dummyfunction("""COMPUTED_VALUE"""),792819)</f>
        <v>792819</v>
      </c>
      <c r="R95" s="70" t="n">
        <f aca="false">IFERROR(__xludf.dummyfunction("""COMPUTED_VALUE"""),924300)</f>
        <v>924300</v>
      </c>
      <c r="S95" s="70" t="n">
        <f aca="false">IFERROR(__xludf.dummyfunction("""COMPUTED_VALUE"""),310996)</f>
        <v>310996</v>
      </c>
      <c r="T95" s="70" t="n">
        <f aca="false">IFERROR(__xludf.dummyfunction("""COMPUTED_VALUE"""),313863)</f>
        <v>313863</v>
      </c>
      <c r="U95" s="70" t="n">
        <f aca="false">IFERROR(__xludf.dummyfunction("""COMPUTED_VALUE"""),707782)</f>
        <v>707782</v>
      </c>
      <c r="V95" s="70" t="n">
        <f aca="false">IFERROR(__xludf.dummyfunction("""COMPUTED_VALUE"""),112367)</f>
        <v>112367</v>
      </c>
      <c r="W95" s="70" t="n">
        <f aca="false">IFERROR(__xludf.dummyfunction("""COMPUTED_VALUE"""),194449)</f>
        <v>194449</v>
      </c>
      <c r="X95" s="70" t="n">
        <f aca="false">IFERROR(__xludf.dummyfunction("""COMPUTED_VALUE"""),258948)</f>
        <v>258948</v>
      </c>
      <c r="Y95" s="70" t="n">
        <f aca="false">IFERROR(__xludf.dummyfunction("""COMPUTED_VALUE"""),607030)</f>
        <v>607030</v>
      </c>
      <c r="Z95" s="70" t="n">
        <f aca="false">IFERROR(__xludf.dummyfunction("""COMPUTED_VALUE"""),583135)</f>
        <v>583135</v>
      </c>
      <c r="AA95" s="70" t="n">
        <f aca="false">IFERROR(__xludf.dummyfunction("""COMPUTED_VALUE"""),460693)</f>
        <v>460693</v>
      </c>
      <c r="AB95" s="70" t="n">
        <f aca="false">IFERROR(__xludf.dummyfunction("""COMPUTED_VALUE"""),562296)</f>
        <v>562296</v>
      </c>
      <c r="AC95" s="70" t="n">
        <f aca="false">IFERROR(__xludf.dummyfunction("""COMPUTED_VALUE"""),293917)</f>
        <v>293917</v>
      </c>
      <c r="AD95" s="70" t="n">
        <f aca="false">IFERROR(__xludf.dummyfunction("""COMPUTED_VALUE"""),326679)</f>
        <v>326679</v>
      </c>
      <c r="AE95" s="70" t="n">
        <f aca="false">IFERROR(__xludf.dummyfunction("""COMPUTED_VALUE"""),182887)</f>
        <v>182887</v>
      </c>
      <c r="AF95" s="70" t="n">
        <f aca="false">IFERROR(__xludf.dummyfunction("""COMPUTED_VALUE"""),100559)</f>
        <v>100559</v>
      </c>
      <c r="AG95" s="70" t="n">
        <f aca="false">IFERROR(__xludf.dummyfunction("""COMPUTED_VALUE"""),319376)</f>
        <v>319376</v>
      </c>
      <c r="AH95" s="70" t="n">
        <f aca="false">IFERROR(__xludf.dummyfunction("""COMPUTED_VALUE"""),542804)</f>
        <v>542804</v>
      </c>
      <c r="AI95" s="70" t="n">
        <f aca="false">IFERROR(__xludf.dummyfunction("""COMPUTED_VALUE"""),1057418)</f>
        <v>1057418</v>
      </c>
      <c r="AJ95" s="70" t="n">
        <f aca="false">IFERROR(__xludf.dummyfunction("""COMPUTED_VALUE"""),980562)</f>
        <v>980562</v>
      </c>
      <c r="AK95" s="70" t="n">
        <f aca="false">IFERROR(__xludf.dummyfunction("""COMPUTED_VALUE"""),415599)</f>
        <v>415599</v>
      </c>
      <c r="AL95" s="70" t="n">
        <f aca="false">IFERROR(__xludf.dummyfunction("""COMPUTED_VALUE"""),1504697)</f>
        <v>1504697</v>
      </c>
      <c r="AM95" s="70" t="n">
        <f aca="false">IFERROR(__xludf.dummyfunction("""COMPUTED_VALUE"""),454084)</f>
        <v>454084</v>
      </c>
      <c r="AN95" s="70" t="n">
        <f aca="false">IFERROR(__xludf.dummyfunction("""COMPUTED_VALUE"""),386127)</f>
        <v>386127</v>
      </c>
      <c r="AO95" s="70" t="n">
        <f aca="false">IFERROR(__xludf.dummyfunction("""COMPUTED_VALUE"""),1133552)</f>
        <v>1133552</v>
      </c>
      <c r="AP95" s="70" t="n">
        <f aca="false">IFERROR(__xludf.dummyfunction("""COMPUTED_VALUE"""),58208)</f>
        <v>58208</v>
      </c>
      <c r="AQ95" s="70" t="n">
        <f aca="false">IFERROR(__xludf.dummyfunction("""COMPUTED_VALUE"""),539898)</f>
        <v>539898</v>
      </c>
      <c r="AR95" s="70" t="n">
        <f aca="false">IFERROR(__xludf.dummyfunction("""COMPUTED_VALUE"""),188099)</f>
        <v>188099</v>
      </c>
      <c r="AS95" s="70" t="n">
        <f aca="false">IFERROR(__xludf.dummyfunction("""COMPUTED_VALUE"""),370405)</f>
        <v>370405</v>
      </c>
      <c r="AT95" s="70" t="n">
        <f aca="false">IFERROR(__xludf.dummyfunction("""COMPUTED_VALUE"""),3772873)</f>
        <v>3772873</v>
      </c>
      <c r="AU95" s="70" t="n">
        <f aca="false">IFERROR(__xludf.dummyfunction("""COMPUTED_VALUE"""),260461)</f>
        <v>260461</v>
      </c>
      <c r="AV95" s="70" t="n">
        <f aca="false">IFERROR(__xludf.dummyfunction("""COMPUTED_VALUE"""),32880)</f>
        <v>32880</v>
      </c>
      <c r="AW95" s="70" t="n">
        <f aca="false">IFERROR(__xludf.dummyfunction("""COMPUTED_VALUE"""),523448)</f>
        <v>523448</v>
      </c>
      <c r="AX95" s="70" t="n">
        <f aca="false">IFERROR(__xludf.dummyfunction("""COMPUTED_VALUE"""),609792)</f>
        <v>609792</v>
      </c>
      <c r="AY95" s="70" t="n">
        <f aca="false">IFERROR(__xludf.dummyfunction("""COMPUTED_VALUE"""),509975)</f>
        <v>509975</v>
      </c>
      <c r="AZ95" s="70" t="n">
        <f aca="false">IFERROR(__xludf.dummyfunction("""COMPUTED_VALUE"""),873902)</f>
        <v>873902</v>
      </c>
      <c r="BA95" s="70" t="n">
        <f aca="false">IFERROR(__xludf.dummyfunction("""COMPUTED_VALUE"""),83215)</f>
        <v>83215</v>
      </c>
    </row>
    <row r="96" customFormat="false" ht="15.75" hidden="false" customHeight="false" outlineLevel="0" collapsed="false">
      <c r="A96" s="78" t="str">
        <f aca="false">IFERROR(__xludf.dummyfunction("""COMPUTED_VALUE"""),"exemptions")</f>
        <v>exemptions</v>
      </c>
      <c r="B96" s="72" t="n">
        <f aca="false">IFERROR(__xludf.dummyfunction("""COMPUTED_VALUE"""),585831)</f>
        <v>585831</v>
      </c>
      <c r="C96" s="73" t="n">
        <f aca="false">IFERROR(__xludf.dummyfunction("""COMPUTED_VALUE"""),31203)</f>
        <v>31203</v>
      </c>
      <c r="D96" s="70" t="n">
        <f aca="false">IFERROR(__xludf.dummyfunction("""COMPUTED_VALUE"""),322)</f>
        <v>322</v>
      </c>
      <c r="E96" s="70" t="n">
        <f aca="false">IFERROR(__xludf.dummyfunction("""COMPUTED_VALUE"""),276)</f>
        <v>276</v>
      </c>
      <c r="F96" s="70" t="n">
        <f aca="false">IFERROR(__xludf.dummyfunction("""COMPUTED_VALUE"""),6575)</f>
        <v>6575</v>
      </c>
      <c r="G96" s="70" t="n">
        <f aca="false">IFERROR(__xludf.dummyfunction("""COMPUTED_VALUE"""),14477)</f>
        <v>14477</v>
      </c>
      <c r="H96" s="70" t="n">
        <f aca="false">IFERROR(__xludf.dummyfunction("""COMPUTED_VALUE"""),4)</f>
        <v>4</v>
      </c>
      <c r="I96" s="70" t="n">
        <f aca="false">IFERROR(__xludf.dummyfunction("""COMPUTED_VALUE"""),0)</f>
        <v>0</v>
      </c>
      <c r="J96" s="70" t="n">
        <f aca="false">IFERROR(__xludf.dummyfunction("""COMPUTED_VALUE"""),1)</f>
        <v>1</v>
      </c>
      <c r="K96" s="70" t="n">
        <f aca="false">IFERROR(__xludf.dummyfunction("""COMPUTED_VALUE"""),149)</f>
        <v>149</v>
      </c>
      <c r="L96" s="70" t="n">
        <f aca="false">IFERROR(__xludf.dummyfunction("""COMPUTED_VALUE"""),10171)</f>
        <v>10171</v>
      </c>
      <c r="M96" s="70" t="n">
        <f aca="false">IFERROR(__xludf.dummyfunction("""COMPUTED_VALUE"""),2783)</f>
        <v>2783</v>
      </c>
      <c r="N96" s="70" t="n">
        <f aca="false">IFERROR(__xludf.dummyfunction("""COMPUTED_VALUE"""),491)</f>
        <v>491</v>
      </c>
      <c r="O96" s="70" t="n">
        <f aca="false">IFERROR(__xludf.dummyfunction("""COMPUTED_VALUE"""),1567)</f>
        <v>1567</v>
      </c>
      <c r="P96" s="70" t="n">
        <f aca="false">IFERROR(__xludf.dummyfunction("""COMPUTED_VALUE"""),37635)</f>
        <v>37635</v>
      </c>
      <c r="Q96" s="70" t="n">
        <f aca="false">IFERROR(__xludf.dummyfunction("""COMPUTED_VALUE"""),8295)</f>
        <v>8295</v>
      </c>
      <c r="R96" s="70" t="n">
        <f aca="false">IFERROR(__xludf.dummyfunction("""COMPUTED_VALUE"""),0)</f>
        <v>0</v>
      </c>
      <c r="S96" s="70" t="n">
        <f aca="false">IFERROR(__xludf.dummyfunction("""COMPUTED_VALUE"""),0)</f>
        <v>0</v>
      </c>
      <c r="T96" s="70" t="n">
        <f aca="false">IFERROR(__xludf.dummyfunction("""COMPUTED_VALUE"""),7445)</f>
        <v>7445</v>
      </c>
      <c r="U96" s="70" t="n">
        <f aca="false">IFERROR(__xludf.dummyfunction("""COMPUTED_VALUE"""),19766)</f>
        <v>19766</v>
      </c>
      <c r="V96" s="70" t="n">
        <f aca="false">IFERROR(__xludf.dummyfunction("""COMPUTED_VALUE"""),0)</f>
        <v>0</v>
      </c>
      <c r="W96" s="70" t="n">
        <f aca="false">IFERROR(__xludf.dummyfunction("""COMPUTED_VALUE"""),2284)</f>
        <v>2284</v>
      </c>
      <c r="X96" s="70" t="n">
        <f aca="false">IFERROR(__xludf.dummyfunction("""COMPUTED_VALUE"""),0)</f>
        <v>0</v>
      </c>
      <c r="Y96" s="70" t="n">
        <f aca="false">IFERROR(__xludf.dummyfunction("""COMPUTED_VALUE"""),147787)</f>
        <v>147787</v>
      </c>
      <c r="Z96" s="70" t="n">
        <f aca="false">IFERROR(__xludf.dummyfunction("""COMPUTED_VALUE"""),123461)</f>
        <v>123461</v>
      </c>
      <c r="AA96" s="70" t="n">
        <f aca="false">IFERROR(__xludf.dummyfunction("""COMPUTED_VALUE"""),14535)</f>
        <v>14535</v>
      </c>
      <c r="AB96" s="70" t="n">
        <f aca="false">IFERROR(__xludf.dummyfunction("""COMPUTED_VALUE"""),3)</f>
        <v>3</v>
      </c>
      <c r="AC96" s="70" t="n">
        <f aca="false">IFERROR(__xludf.dummyfunction("""COMPUTED_VALUE"""),23)</f>
        <v>23</v>
      </c>
      <c r="AD96" s="70" t="n">
        <f aca="false">IFERROR(__xludf.dummyfunction("""COMPUTED_VALUE"""),61)</f>
        <v>61</v>
      </c>
      <c r="AE96" s="70" t="n">
        <f aca="false">IFERROR(__xludf.dummyfunction("""COMPUTED_VALUE"""),74)</f>
        <v>74</v>
      </c>
      <c r="AF96" s="70" t="n">
        <f aca="false">IFERROR(__xludf.dummyfunction("""COMPUTED_VALUE"""),0)</f>
        <v>0</v>
      </c>
      <c r="AG96" s="70" t="n">
        <f aca="false">IFERROR(__xludf.dummyfunction("""COMPUTED_VALUE"""),583)</f>
        <v>583</v>
      </c>
      <c r="AH96" s="70" t="n">
        <f aca="false">IFERROR(__xludf.dummyfunction("""COMPUTED_VALUE"""),2938)</f>
        <v>2938</v>
      </c>
      <c r="AI96" s="70" t="n">
        <f aca="false">IFERROR(__xludf.dummyfunction("""COMPUTED_VALUE"""),20562)</f>
        <v>20562</v>
      </c>
      <c r="AJ96" s="70" t="n">
        <f aca="false">IFERROR(__xludf.dummyfunction("""COMPUTED_VALUE"""),98)</f>
        <v>98</v>
      </c>
      <c r="AK96" s="70" t="n">
        <f aca="false">IFERROR(__xludf.dummyfunction("""COMPUTED_VALUE"""),46)</f>
        <v>46</v>
      </c>
      <c r="AL96" s="70" t="n">
        <f aca="false">IFERROR(__xludf.dummyfunction("""COMPUTED_VALUE"""),17467)</f>
        <v>17467</v>
      </c>
      <c r="AM96" s="70" t="n">
        <f aca="false">IFERROR(__xludf.dummyfunction("""COMPUTED_VALUE"""),2838)</f>
        <v>2838</v>
      </c>
      <c r="AN96" s="70" t="n">
        <f aca="false">IFERROR(__xludf.dummyfunction("""COMPUTED_VALUE"""),570)</f>
        <v>570</v>
      </c>
      <c r="AO96" s="70" t="n">
        <f aca="false">IFERROR(__xludf.dummyfunction("""COMPUTED_VALUE"""),14727)</f>
        <v>14727</v>
      </c>
      <c r="AP96" s="70" t="n">
        <f aca="false">IFERROR(__xludf.dummyfunction("""COMPUTED_VALUE"""),0)</f>
        <v>0</v>
      </c>
      <c r="AQ96" s="70" t="n">
        <f aca="false">IFERROR(__xludf.dummyfunction("""COMPUTED_VALUE"""),5933)</f>
        <v>5933</v>
      </c>
      <c r="AR96" s="70" t="n">
        <f aca="false">IFERROR(__xludf.dummyfunction("""COMPUTED_VALUE"""),64)</f>
        <v>64</v>
      </c>
      <c r="AS96" s="70" t="n">
        <f aca="false">IFERROR(__xludf.dummyfunction("""COMPUTED_VALUE"""),0)</f>
        <v>0</v>
      </c>
      <c r="AT96" s="70" t="n">
        <f aca="false">IFERROR(__xludf.dummyfunction("""COMPUTED_VALUE"""),43882)</f>
        <v>43882</v>
      </c>
      <c r="AU96" s="70" t="n">
        <f aca="false">IFERROR(__xludf.dummyfunction("""COMPUTED_VALUE"""),70)</f>
        <v>70</v>
      </c>
      <c r="AV96" s="70" t="n">
        <f aca="false">IFERROR(__xludf.dummyfunction("""COMPUTED_VALUE"""),1573)</f>
        <v>1573</v>
      </c>
      <c r="AW96" s="70" t="n">
        <f aca="false">IFERROR(__xludf.dummyfunction("""COMPUTED_VALUE"""),0)</f>
        <v>0</v>
      </c>
      <c r="AX96" s="70" t="n">
        <f aca="false">IFERROR(__xludf.dummyfunction("""COMPUTED_VALUE"""),65)</f>
        <v>65</v>
      </c>
      <c r="AY96" s="70" t="n">
        <f aca="false">IFERROR(__xludf.dummyfunction("""COMPUTED_VALUE"""),10819)</f>
        <v>10819</v>
      </c>
      <c r="AZ96" s="70" t="n">
        <f aca="false">IFERROR(__xludf.dummyfunction("""COMPUTED_VALUE"""),34208)</f>
        <v>34208</v>
      </c>
      <c r="BA96" s="70" t="n">
        <f aca="false">IFERROR(__xludf.dummyfunction("""COMPUTED_VALUE"""),0)</f>
        <v>0</v>
      </c>
    </row>
    <row r="97" customFormat="false" ht="15.75" hidden="false" customHeight="false" outlineLevel="0" collapsed="false">
      <c r="A97" s="78" t="str">
        <f aca="false">IFERROR(__xludf.dummyfunction("""COMPUTED_VALUE"""),"rate_code_area")</f>
        <v>rate_code_area</v>
      </c>
      <c r="B97" s="72" t="n">
        <f aca="false">IFERROR(__xludf.dummyfunction("""COMPUTED_VALUE"""),0)</f>
        <v>0</v>
      </c>
      <c r="C97" s="73" t="n">
        <f aca="false">IFERROR(__xludf.dummyfunction("""COMPUTED_VALUE"""),0)</f>
        <v>0</v>
      </c>
      <c r="D97" s="70" t="n">
        <f aca="false">IFERROR(__xludf.dummyfunction("""COMPUTED_VALUE"""),0)</f>
        <v>0</v>
      </c>
      <c r="E97" s="70" t="n">
        <f aca="false">IFERROR(__xludf.dummyfunction("""COMPUTED_VALUE"""),0)</f>
        <v>0</v>
      </c>
      <c r="F97" s="70" t="n">
        <f aca="false">IFERROR(__xludf.dummyfunction("""COMPUTED_VALUE"""),0)</f>
        <v>0</v>
      </c>
      <c r="G97" s="70" t="n">
        <f aca="false">IFERROR(__xludf.dummyfunction("""COMPUTED_VALUE"""),0)</f>
        <v>0</v>
      </c>
      <c r="H97" s="70" t="n">
        <f aca="false">IFERROR(__xludf.dummyfunction("""COMPUTED_VALUE"""),0)</f>
        <v>0</v>
      </c>
      <c r="I97" s="70" t="n">
        <f aca="false">IFERROR(__xludf.dummyfunction("""COMPUTED_VALUE"""),0)</f>
        <v>0</v>
      </c>
      <c r="J97" s="70" t="n">
        <f aca="false">IFERROR(__xludf.dummyfunction("""COMPUTED_VALUE"""),0)</f>
        <v>0</v>
      </c>
      <c r="K97" s="70" t="n">
        <f aca="false">IFERROR(__xludf.dummyfunction("""COMPUTED_VALUE"""),0)</f>
        <v>0</v>
      </c>
      <c r="L97" s="70" t="n">
        <f aca="false">IFERROR(__xludf.dummyfunction("""COMPUTED_VALUE"""),0)</f>
        <v>0</v>
      </c>
      <c r="M97" s="70" t="n">
        <f aca="false">IFERROR(__xludf.dummyfunction("""COMPUTED_VALUE"""),0)</f>
        <v>0</v>
      </c>
      <c r="N97" s="70" t="n">
        <f aca="false">IFERROR(__xludf.dummyfunction("""COMPUTED_VALUE"""),0)</f>
        <v>0</v>
      </c>
      <c r="O97" s="70" t="n">
        <f aca="false">IFERROR(__xludf.dummyfunction("""COMPUTED_VALUE"""),0)</f>
        <v>0</v>
      </c>
      <c r="P97" s="70" t="n">
        <f aca="false">IFERROR(__xludf.dummyfunction("""COMPUTED_VALUE"""),0)</f>
        <v>0</v>
      </c>
      <c r="Q97" s="70" t="n">
        <f aca="false">IFERROR(__xludf.dummyfunction("""COMPUTED_VALUE"""),0)</f>
        <v>0</v>
      </c>
      <c r="R97" s="70" t="n">
        <f aca="false">IFERROR(__xludf.dummyfunction("""COMPUTED_VALUE"""),0)</f>
        <v>0</v>
      </c>
      <c r="S97" s="70" t="n">
        <f aca="false">IFERROR(__xludf.dummyfunction("""COMPUTED_VALUE"""),0)</f>
        <v>0</v>
      </c>
      <c r="T97" s="70" t="n">
        <f aca="false">IFERROR(__xludf.dummyfunction("""COMPUTED_VALUE"""),0)</f>
        <v>0</v>
      </c>
      <c r="U97" s="70" t="n">
        <f aca="false">IFERROR(__xludf.dummyfunction("""COMPUTED_VALUE"""),0)</f>
        <v>0</v>
      </c>
      <c r="V97" s="70" t="n">
        <f aca="false">IFERROR(__xludf.dummyfunction("""COMPUTED_VALUE"""),0)</f>
        <v>0</v>
      </c>
      <c r="W97" s="70" t="n">
        <f aca="false">IFERROR(__xludf.dummyfunction("""COMPUTED_VALUE"""),0)</f>
        <v>0</v>
      </c>
      <c r="X97" s="70" t="n">
        <f aca="false">IFERROR(__xludf.dummyfunction("""COMPUTED_VALUE"""),0)</f>
        <v>0</v>
      </c>
      <c r="Y97" s="70" t="n">
        <f aca="false">IFERROR(__xludf.dummyfunction("""COMPUTED_VALUE"""),0)</f>
        <v>0</v>
      </c>
      <c r="Z97" s="70" t="n">
        <f aca="false">IFERROR(__xludf.dummyfunction("""COMPUTED_VALUE"""),0)</f>
        <v>0</v>
      </c>
      <c r="AA97" s="70" t="n">
        <f aca="false">IFERROR(__xludf.dummyfunction("""COMPUTED_VALUE"""),0)</f>
        <v>0</v>
      </c>
      <c r="AB97" s="70" t="n">
        <f aca="false">IFERROR(__xludf.dummyfunction("""COMPUTED_VALUE"""),0)</f>
        <v>0</v>
      </c>
      <c r="AC97" s="70" t="n">
        <f aca="false">IFERROR(__xludf.dummyfunction("""COMPUTED_VALUE"""),0)</f>
        <v>0</v>
      </c>
      <c r="AD97" s="70" t="n">
        <f aca="false">IFERROR(__xludf.dummyfunction("""COMPUTED_VALUE"""),0)</f>
        <v>0</v>
      </c>
      <c r="AE97" s="70" t="n">
        <f aca="false">IFERROR(__xludf.dummyfunction("""COMPUTED_VALUE"""),0)</f>
        <v>0</v>
      </c>
      <c r="AF97" s="70" t="n">
        <f aca="false">IFERROR(__xludf.dummyfunction("""COMPUTED_VALUE"""),0)</f>
        <v>0</v>
      </c>
      <c r="AG97" s="70" t="n">
        <f aca="false">IFERROR(__xludf.dummyfunction("""COMPUTED_VALUE"""),0)</f>
        <v>0</v>
      </c>
      <c r="AH97" s="70" t="n">
        <f aca="false">IFERROR(__xludf.dummyfunction("""COMPUTED_VALUE"""),0)</f>
        <v>0</v>
      </c>
      <c r="AI97" s="70" t="n">
        <f aca="false">IFERROR(__xludf.dummyfunction("""COMPUTED_VALUE"""),0)</f>
        <v>0</v>
      </c>
      <c r="AJ97" s="70" t="n">
        <f aca="false">IFERROR(__xludf.dummyfunction("""COMPUTED_VALUE"""),0)</f>
        <v>0</v>
      </c>
      <c r="AK97" s="70" t="n">
        <f aca="false">IFERROR(__xludf.dummyfunction("""COMPUTED_VALUE"""),0)</f>
        <v>0</v>
      </c>
      <c r="AL97" s="70" t="n">
        <f aca="false">IFERROR(__xludf.dummyfunction("""COMPUTED_VALUE"""),0)</f>
        <v>0</v>
      </c>
      <c r="AM97" s="70" t="n">
        <f aca="false">IFERROR(__xludf.dummyfunction("""COMPUTED_VALUE"""),0)</f>
        <v>0</v>
      </c>
      <c r="AN97" s="70" t="n">
        <f aca="false">IFERROR(__xludf.dummyfunction("""COMPUTED_VALUE"""),0)</f>
        <v>0</v>
      </c>
      <c r="AO97" s="70" t="n">
        <f aca="false">IFERROR(__xludf.dummyfunction("""COMPUTED_VALUE"""),0)</f>
        <v>0</v>
      </c>
      <c r="AP97" s="70" t="n">
        <f aca="false">IFERROR(__xludf.dummyfunction("""COMPUTED_VALUE"""),0)</f>
        <v>0</v>
      </c>
      <c r="AQ97" s="70" t="n">
        <f aca="false">IFERROR(__xludf.dummyfunction("""COMPUTED_VALUE"""),0)</f>
        <v>0</v>
      </c>
      <c r="AR97" s="70" t="n">
        <f aca="false">IFERROR(__xludf.dummyfunction("""COMPUTED_VALUE"""),0)</f>
        <v>0</v>
      </c>
      <c r="AS97" s="70" t="n">
        <f aca="false">IFERROR(__xludf.dummyfunction("""COMPUTED_VALUE"""),0)</f>
        <v>0</v>
      </c>
      <c r="AT97" s="70" t="n">
        <f aca="false">IFERROR(__xludf.dummyfunction("""COMPUTED_VALUE"""),0)</f>
        <v>0</v>
      </c>
      <c r="AU97" s="70" t="n">
        <f aca="false">IFERROR(__xludf.dummyfunction("""COMPUTED_VALUE"""),0)</f>
        <v>0</v>
      </c>
      <c r="AV97" s="70" t="n">
        <f aca="false">IFERROR(__xludf.dummyfunction("""COMPUTED_VALUE"""),0)</f>
        <v>0</v>
      </c>
      <c r="AW97" s="70" t="n">
        <f aca="false">IFERROR(__xludf.dummyfunction("""COMPUTED_VALUE"""),0)</f>
        <v>0</v>
      </c>
      <c r="AX97" s="70" t="n">
        <f aca="false">IFERROR(__xludf.dummyfunction("""COMPUTED_VALUE"""),0)</f>
        <v>0</v>
      </c>
      <c r="AY97" s="70" t="n">
        <f aca="false">IFERROR(__xludf.dummyfunction("""COMPUTED_VALUE"""),0)</f>
        <v>0</v>
      </c>
      <c r="AZ97" s="70" t="n">
        <f aca="false">IFERROR(__xludf.dummyfunction("""COMPUTED_VALUE"""),0)</f>
        <v>0</v>
      </c>
      <c r="BA97" s="70" t="n">
        <f aca="false">IFERROR(__xludf.dummyfunction("""COMPUTED_VALUE"""),0)</f>
        <v>0</v>
      </c>
    </row>
    <row r="98" customFormat="false" ht="15.75" hidden="false" customHeight="false" outlineLevel="0" collapsed="false">
      <c r="B98" s="59"/>
      <c r="C98" s="79"/>
      <c r="D98" s="80"/>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row>
    <row r="99" customFormat="false" ht="15.75" hidden="false" customHeight="false" outlineLevel="0" collapsed="false">
      <c r="A99" s="74" t="s">
        <v>1816</v>
      </c>
      <c r="B99" s="7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row>
    <row r="100" customFormat="false" ht="15.75" hidden="false" customHeight="false" outlineLevel="0" collapsed="false">
      <c r="A100" s="75" t="str">
        <f aca="false">IFERROR(__xludf.dummyfunction("TRANSPOSE(IMPORTRANGE(""https://docs.google.com/spreadsheets/d/1GKhz9pSyUWFf4Xrp7ACbjr4UA3dMq6VxKG1OCLWM9yA"", ""'Assessments'!F4:I56""))"),"year")</f>
        <v>year</v>
      </c>
      <c r="B100" s="56" t="n">
        <f aca="false">IFERROR(__xludf.dummyfunction("""COMPUTED_VALUE"""),36607519)</f>
        <v>36607519</v>
      </c>
      <c r="C100" s="76" t="n">
        <f aca="false">IFERROR(__xludf.dummyfunction("""COMPUTED_VALUE"""),820653)</f>
        <v>820653</v>
      </c>
      <c r="D100" s="77" t="n">
        <f aca="false">IFERROR(__xludf.dummyfunction("""COMPUTED_VALUE"""),106664)</f>
        <v>106664</v>
      </c>
      <c r="E100" s="77" t="n">
        <f aca="false">IFERROR(__xludf.dummyfunction("""COMPUTED_VALUE"""),861527)</f>
        <v>861527</v>
      </c>
      <c r="F100" s="77" t="n">
        <f aca="false">IFERROR(__xludf.dummyfunction("""COMPUTED_VALUE"""),979079)</f>
        <v>979079</v>
      </c>
      <c r="G100" s="77" t="n">
        <f aca="false">IFERROR(__xludf.dummyfunction("""COMPUTED_VALUE"""),2298826)</f>
        <v>2298826</v>
      </c>
      <c r="H100" s="77" t="n">
        <f aca="false">IFERROR(__xludf.dummyfunction("""COMPUTED_VALUE"""),634643)</f>
        <v>634643</v>
      </c>
      <c r="I100" s="77" t="n">
        <f aca="false">IFERROR(__xludf.dummyfunction("""COMPUTED_VALUE"""),182373)</f>
        <v>182373</v>
      </c>
      <c r="J100" s="77" t="n">
        <f aca="false">IFERROR(__xludf.dummyfunction("""COMPUTED_VALUE"""),78259)</f>
        <v>78259</v>
      </c>
      <c r="K100" s="77" t="n">
        <f aca="false">IFERROR(__xludf.dummyfunction("""COMPUTED_VALUE"""),37808)</f>
        <v>37808</v>
      </c>
      <c r="L100" s="77" t="n">
        <f aca="false">IFERROR(__xludf.dummyfunction("""COMPUTED_VALUE"""),2201177)</f>
        <v>2201177</v>
      </c>
      <c r="M100" s="77" t="n">
        <f aca="false">IFERROR(__xludf.dummyfunction("""COMPUTED_VALUE"""),654323)</f>
        <v>654323</v>
      </c>
      <c r="N100" s="77" t="n">
        <f aca="false">IFERROR(__xludf.dummyfunction("""COMPUTED_VALUE"""),122780)</f>
        <v>122780</v>
      </c>
      <c r="O100" s="77" t="n">
        <f aca="false">IFERROR(__xludf.dummyfunction("""COMPUTED_VALUE"""),241326)</f>
        <v>241326</v>
      </c>
      <c r="P100" s="77" t="n">
        <f aca="false">IFERROR(__xludf.dummyfunction("""COMPUTED_VALUE"""),1450322)</f>
        <v>1450322</v>
      </c>
      <c r="Q100" s="77" t="n">
        <f aca="false">IFERROR(__xludf.dummyfunction("""COMPUTED_VALUE"""),974792)</f>
        <v>974792</v>
      </c>
      <c r="R100" s="77" t="n">
        <f aca="false">IFERROR(__xludf.dummyfunction("""COMPUTED_VALUE"""),1057394)</f>
        <v>1057394</v>
      </c>
      <c r="S100" s="77" t="n">
        <f aca="false">IFERROR(__xludf.dummyfunction("""COMPUTED_VALUE"""),552322)</f>
        <v>552322</v>
      </c>
      <c r="T100" s="77" t="n">
        <f aca="false">IFERROR(__xludf.dummyfunction("""COMPUTED_VALUE"""),388812)</f>
        <v>388812</v>
      </c>
      <c r="U100" s="77" t="n">
        <f aca="false">IFERROR(__xludf.dummyfunction("""COMPUTED_VALUE"""),737673)</f>
        <v>737673</v>
      </c>
      <c r="V100" s="77" t="n">
        <f aca="false">IFERROR(__xludf.dummyfunction("""COMPUTED_VALUE"""),132994)</f>
        <v>132994</v>
      </c>
      <c r="W100" s="77" t="n">
        <f aca="false">IFERROR(__xludf.dummyfunction("""COMPUTED_VALUE"""),276188)</f>
        <v>276188</v>
      </c>
      <c r="X100" s="77" t="n">
        <f aca="false">IFERROR(__xludf.dummyfunction("""COMPUTED_VALUE"""),380684)</f>
        <v>380684</v>
      </c>
      <c r="Y100" s="77" t="n">
        <f aca="false">IFERROR(__xludf.dummyfunction("""COMPUTED_VALUE"""),900208)</f>
        <v>900208</v>
      </c>
      <c r="Z100" s="77" t="n">
        <f aca="false">IFERROR(__xludf.dummyfunction("""COMPUTED_VALUE"""),871819)</f>
        <v>871819</v>
      </c>
      <c r="AA100" s="77" t="n">
        <f aca="false">IFERROR(__xludf.dummyfunction("""COMPUTED_VALUE"""),556989)</f>
        <v>556989</v>
      </c>
      <c r="AB100" s="77" t="n">
        <f aca="false">IFERROR(__xludf.dummyfunction("""COMPUTED_VALUE"""),702777)</f>
        <v>702777</v>
      </c>
      <c r="AC100" s="77" t="n">
        <f aca="false">IFERROR(__xludf.dummyfunction("""COMPUTED_VALUE"""),441549)</f>
        <v>441549</v>
      </c>
      <c r="AD100" s="77" t="n">
        <f aca="false">IFERROR(__xludf.dummyfunction("""COMPUTED_VALUE"""),411376)</f>
        <v>411376</v>
      </c>
      <c r="AE100" s="77" t="n">
        <f aca="false">IFERROR(__xludf.dummyfunction("""COMPUTED_VALUE"""),225472)</f>
        <v>225472</v>
      </c>
      <c r="AF100" s="77" t="n">
        <f aca="false">IFERROR(__xludf.dummyfunction("""COMPUTED_VALUE"""),127773)</f>
        <v>127773</v>
      </c>
      <c r="AG100" s="77" t="n">
        <f aca="false">IFERROR(__xludf.dummyfunction("""COMPUTED_VALUE"""),516774)</f>
        <v>516774</v>
      </c>
      <c r="AH100" s="77" t="n">
        <f aca="false">IFERROR(__xludf.dummyfunction("""COMPUTED_VALUE"""),612828)</f>
        <v>612828</v>
      </c>
      <c r="AI100" s="77" t="n">
        <f aca="false">IFERROR(__xludf.dummyfunction("""COMPUTED_VALUE"""),1261183)</f>
        <v>1261183</v>
      </c>
      <c r="AJ100" s="77" t="n">
        <f aca="false">IFERROR(__xludf.dummyfunction("""COMPUTED_VALUE"""),1155872)</f>
        <v>1155872</v>
      </c>
      <c r="AK100" s="77" t="n">
        <f aca="false">IFERROR(__xludf.dummyfunction("""COMPUTED_VALUE"""),459504)</f>
        <v>459504</v>
      </c>
      <c r="AL100" s="77" t="n">
        <f aca="false">IFERROR(__xludf.dummyfunction("""COMPUTED_VALUE"""),1812793)</f>
        <v>1812793</v>
      </c>
      <c r="AM100" s="77" t="n">
        <f aca="false">IFERROR(__xludf.dummyfunction("""COMPUTED_VALUE"""),602771)</f>
        <v>602771</v>
      </c>
      <c r="AN100" s="77" t="n">
        <f aca="false">IFERROR(__xludf.dummyfunction("""COMPUTED_VALUE"""),491379)</f>
        <v>491379</v>
      </c>
      <c r="AO100" s="77" t="n">
        <f aca="false">IFERROR(__xludf.dummyfunction("""COMPUTED_VALUE"""),1255618)</f>
        <v>1255618</v>
      </c>
      <c r="AP100" s="77" t="n">
        <f aca="false">IFERROR(__xludf.dummyfunction("""COMPUTED_VALUE"""),79676)</f>
        <v>79676</v>
      </c>
      <c r="AQ100" s="77" t="n">
        <f aca="false">IFERROR(__xludf.dummyfunction("""COMPUTED_VALUE"""),628145)</f>
        <v>628145</v>
      </c>
      <c r="AR100" s="77" t="n">
        <f aca="false">IFERROR(__xludf.dummyfunction("""COMPUTED_VALUE"""),358147)</f>
        <v>358147</v>
      </c>
      <c r="AS100" s="77" t="n">
        <f aca="false">IFERROR(__xludf.dummyfunction("""COMPUTED_VALUE"""),483209)</f>
        <v>483209</v>
      </c>
      <c r="AT100" s="77" t="n">
        <f aca="false">IFERROR(__xludf.dummyfunction("""COMPUTED_VALUE"""),3881665)</f>
        <v>3881665</v>
      </c>
      <c r="AU100" s="77" t="n">
        <f aca="false">IFERROR(__xludf.dummyfunction("""COMPUTED_VALUE"""),357411)</f>
        <v>357411</v>
      </c>
      <c r="AV100" s="77" t="n">
        <f aca="false">IFERROR(__xludf.dummyfunction("""COMPUTED_VALUE"""),34759)</f>
        <v>34759</v>
      </c>
      <c r="AW100" s="77" t="n">
        <f aca="false">IFERROR(__xludf.dummyfunction("""COMPUTED_VALUE"""),607693)</f>
        <v>607693</v>
      </c>
      <c r="AX100" s="77" t="n">
        <f aca="false">IFERROR(__xludf.dummyfunction("""COMPUTED_VALUE"""),704005)</f>
        <v>704005</v>
      </c>
      <c r="AY100" s="77" t="n">
        <f aca="false">IFERROR(__xludf.dummyfunction("""COMPUTED_VALUE"""),668634)</f>
        <v>668634</v>
      </c>
      <c r="AZ100" s="77" t="n">
        <f aca="false">IFERROR(__xludf.dummyfunction("""COMPUTED_VALUE"""),1125704)</f>
        <v>1125704</v>
      </c>
      <c r="BA100" s="77" t="n">
        <f aca="false">IFERROR(__xludf.dummyfunction("""COMPUTED_VALUE"""),101167)</f>
        <v>101167</v>
      </c>
    </row>
    <row r="101" customFormat="false" ht="15.75" hidden="false" customHeight="false" outlineLevel="0" collapsed="false">
      <c r="A101" s="78" t="str">
        <f aca="false">IFERROR(__xludf.dummyfunction("""COMPUTED_VALUE"""),"land_value")</f>
        <v>land_value</v>
      </c>
      <c r="B101" s="72" t="n">
        <f aca="false">IFERROR(__xludf.dummyfunction("""COMPUTED_VALUE"""),28010352)</f>
        <v>28010352</v>
      </c>
      <c r="C101" s="73" t="n">
        <f aca="false">IFERROR(__xludf.dummyfunction("""COMPUTED_VALUE"""),230811)</f>
        <v>230811</v>
      </c>
      <c r="D101" s="70" t="n">
        <f aca="false">IFERROR(__xludf.dummyfunction("""COMPUTED_VALUE"""),91806)</f>
        <v>91806</v>
      </c>
      <c r="E101" s="70" t="n">
        <f aca="false">IFERROR(__xludf.dummyfunction("""COMPUTED_VALUE"""),685992)</f>
        <v>685992</v>
      </c>
      <c r="F101" s="70" t="n">
        <f aca="false">IFERROR(__xludf.dummyfunction("""COMPUTED_VALUE"""),847814)</f>
        <v>847814</v>
      </c>
      <c r="G101" s="70" t="n">
        <f aca="false">IFERROR(__xludf.dummyfunction("""COMPUTED_VALUE"""),1910950)</f>
        <v>1910950</v>
      </c>
      <c r="H101" s="70" t="n">
        <f aca="false">IFERROR(__xludf.dummyfunction("""COMPUTED_VALUE"""),549274)</f>
        <v>549274</v>
      </c>
      <c r="I101" s="70" t="n">
        <f aca="false">IFERROR(__xludf.dummyfunction("""COMPUTED_VALUE"""),168408)</f>
        <v>168408</v>
      </c>
      <c r="J101" s="70" t="n">
        <f aca="false">IFERROR(__xludf.dummyfunction("""COMPUTED_VALUE"""),71036)</f>
        <v>71036</v>
      </c>
      <c r="K101" s="70" t="n">
        <f aca="false">IFERROR(__xludf.dummyfunction("""COMPUTED_VALUE"""),35844)</f>
        <v>35844</v>
      </c>
      <c r="L101" s="70" t="n">
        <f aca="false">IFERROR(__xludf.dummyfunction("""COMPUTED_VALUE"""),1357297)</f>
        <v>1357297</v>
      </c>
      <c r="M101" s="70" t="n">
        <f aca="false">IFERROR(__xludf.dummyfunction("""COMPUTED_VALUE"""),632904)</f>
        <v>632904</v>
      </c>
      <c r="N101" s="70" t="n">
        <f aca="false">IFERROR(__xludf.dummyfunction("""COMPUTED_VALUE"""),119011)</f>
        <v>119011</v>
      </c>
      <c r="O101" s="70" t="n">
        <f aca="false">IFERROR(__xludf.dummyfunction("""COMPUTED_VALUE"""),164873)</f>
        <v>164873</v>
      </c>
      <c r="P101" s="70" t="n">
        <f aca="false">IFERROR(__xludf.dummyfunction("""COMPUTED_VALUE"""),1194255)</f>
        <v>1194255</v>
      </c>
      <c r="Q101" s="70" t="n">
        <f aca="false">IFERROR(__xludf.dummyfunction("""COMPUTED_VALUE"""),816963)</f>
        <v>816963</v>
      </c>
      <c r="R101" s="70" t="n">
        <f aca="false">IFERROR(__xludf.dummyfunction("""COMPUTED_VALUE"""),954317)</f>
        <v>954317</v>
      </c>
      <c r="S101" s="70" t="n">
        <f aca="false">IFERROR(__xludf.dummyfunction("""COMPUTED_VALUE"""),480427)</f>
        <v>480427</v>
      </c>
      <c r="T101" s="70" t="n">
        <f aca="false">IFERROR(__xludf.dummyfunction("""COMPUTED_VALUE"""),191197)</f>
        <v>191197</v>
      </c>
      <c r="U101" s="70" t="n">
        <f aca="false">IFERROR(__xludf.dummyfunction("""COMPUTED_VALUE"""),698478)</f>
        <v>698478</v>
      </c>
      <c r="V101" s="70" t="n">
        <f aca="false">IFERROR(__xludf.dummyfunction("""COMPUTED_VALUE"""),124117)</f>
        <v>124117</v>
      </c>
      <c r="W101" s="70" t="n">
        <f aca="false">IFERROR(__xludf.dummyfunction("""COMPUTED_VALUE"""),198401)</f>
        <v>198401</v>
      </c>
      <c r="X101" s="70" t="n">
        <f aca="false">IFERROR(__xludf.dummyfunction("""COMPUTED_VALUE"""),337353)</f>
        <v>337353</v>
      </c>
      <c r="Y101" s="70" t="n">
        <f aca="false">IFERROR(__xludf.dummyfunction("""COMPUTED_VALUE"""),0)</f>
        <v>0</v>
      </c>
      <c r="Z101" s="70" t="n">
        <f aca="false">IFERROR(__xludf.dummyfunction("""COMPUTED_VALUE"""),510367)</f>
        <v>510367</v>
      </c>
      <c r="AA101" s="70" t="n">
        <f aca="false">IFERROR(__xludf.dummyfunction("""COMPUTED_VALUE"""),126626)</f>
        <v>126626</v>
      </c>
      <c r="AB101" s="70" t="n">
        <f aca="false">IFERROR(__xludf.dummyfunction("""COMPUTED_VALUE"""),345338)</f>
        <v>345338</v>
      </c>
      <c r="AC101" s="70" t="n">
        <f aca="false">IFERROR(__xludf.dummyfunction("""COMPUTED_VALUE"""),428711)</f>
        <v>428711</v>
      </c>
      <c r="AD101" s="70" t="n">
        <f aca="false">IFERROR(__xludf.dummyfunction("""COMPUTED_VALUE"""),336308)</f>
        <v>336308</v>
      </c>
      <c r="AE101" s="70" t="n">
        <f aca="false">IFERROR(__xludf.dummyfunction("""COMPUTED_VALUE"""),204249)</f>
        <v>204249</v>
      </c>
      <c r="AF101" s="70" t="n">
        <f aca="false">IFERROR(__xludf.dummyfunction("""COMPUTED_VALUE"""),112331)</f>
        <v>112331</v>
      </c>
      <c r="AG101" s="70" t="n">
        <f aca="false">IFERROR(__xludf.dummyfunction("""COMPUTED_VALUE"""),486020)</f>
        <v>486020</v>
      </c>
      <c r="AH101" s="70" t="n">
        <f aca="false">IFERROR(__xludf.dummyfunction("""COMPUTED_VALUE"""),557081)</f>
        <v>557081</v>
      </c>
      <c r="AI101" s="70" t="n">
        <f aca="false">IFERROR(__xludf.dummyfunction("""COMPUTED_VALUE"""),1186905)</f>
        <v>1186905</v>
      </c>
      <c r="AJ101" s="70" t="n">
        <f aca="false">IFERROR(__xludf.dummyfunction("""COMPUTED_VALUE"""),1096307)</f>
        <v>1096307</v>
      </c>
      <c r="AK101" s="70" t="n">
        <f aca="false">IFERROR(__xludf.dummyfunction("""COMPUTED_VALUE"""),370713)</f>
        <v>370713</v>
      </c>
      <c r="AL101" s="70" t="n">
        <f aca="false">IFERROR(__xludf.dummyfunction("""COMPUTED_VALUE"""),1644904)</f>
        <v>1644904</v>
      </c>
      <c r="AM101" s="70" t="n">
        <f aca="false">IFERROR(__xludf.dummyfunction("""COMPUTED_VALUE"""),462720)</f>
        <v>462720</v>
      </c>
      <c r="AN101" s="70" t="n">
        <f aca="false">IFERROR(__xludf.dummyfunction("""COMPUTED_VALUE"""),128829)</f>
        <v>128829</v>
      </c>
      <c r="AO101" s="70" t="n">
        <f aca="false">IFERROR(__xludf.dummyfunction("""COMPUTED_VALUE"""),1150309)</f>
        <v>1150309</v>
      </c>
      <c r="AP101" s="70" t="n">
        <f aca="false">IFERROR(__xludf.dummyfunction("""COMPUTED_VALUE"""),75078)</f>
        <v>75078</v>
      </c>
      <c r="AQ101" s="70" t="n">
        <f aca="false">IFERROR(__xludf.dummyfunction("""COMPUTED_VALUE"""),343026)</f>
        <v>343026</v>
      </c>
      <c r="AR101" s="70" t="n">
        <f aca="false">IFERROR(__xludf.dummyfunction("""COMPUTED_VALUE"""),311885)</f>
        <v>311885</v>
      </c>
      <c r="AS101" s="70" t="n">
        <f aca="false">IFERROR(__xludf.dummyfunction("""COMPUTED_VALUE"""),78588)</f>
        <v>78588</v>
      </c>
      <c r="AT101" s="70" t="n">
        <f aca="false">IFERROR(__xludf.dummyfunction("""COMPUTED_VALUE"""),3099943)</f>
        <v>3099943</v>
      </c>
      <c r="AU101" s="70" t="n">
        <f aca="false">IFERROR(__xludf.dummyfunction("""COMPUTED_VALUE"""),216088)</f>
        <v>216088</v>
      </c>
      <c r="AV101" s="70" t="n">
        <f aca="false">IFERROR(__xludf.dummyfunction("""COMPUTED_VALUE"""),26433)</f>
        <v>26433</v>
      </c>
      <c r="AW101" s="70" t="n">
        <f aca="false">IFERROR(__xludf.dummyfunction("""COMPUTED_VALUE"""),584288)</f>
        <v>584288</v>
      </c>
      <c r="AX101" s="70" t="n">
        <f aca="false">IFERROR(__xludf.dummyfunction("""COMPUTED_VALUE"""),633739)</f>
        <v>633739</v>
      </c>
      <c r="AY101" s="70" t="n">
        <f aca="false">IFERROR(__xludf.dummyfunction("""COMPUTED_VALUE"""),668067)</f>
        <v>668067</v>
      </c>
      <c r="AZ101" s="70" t="n">
        <f aca="false">IFERROR(__xludf.dummyfunction("""COMPUTED_VALUE"""),877162)</f>
        <v>877162</v>
      </c>
      <c r="BA101" s="70" t="n">
        <f aca="false">IFERROR(__xludf.dummyfunction("""COMPUTED_VALUE"""),86809)</f>
        <v>86809</v>
      </c>
    </row>
    <row r="102" customFormat="false" ht="15.75" hidden="false" customHeight="false" outlineLevel="0" collapsed="false">
      <c r="A102" s="78" t="str">
        <f aca="false">IFERROR(__xludf.dummyfunction("""COMPUTED_VALUE"""),"improvement_value")</f>
        <v>improvement_value</v>
      </c>
      <c r="B102" s="72" t="n">
        <f aca="false">IFERROR(__xludf.dummyfunction("""COMPUTED_VALUE"""),7772856)</f>
        <v>7772856</v>
      </c>
      <c r="C102" s="73" t="n">
        <f aca="false">IFERROR(__xludf.dummyfunction("""COMPUTED_VALUE"""),42607)</f>
        <v>42607</v>
      </c>
      <c r="D102" s="70" t="n">
        <f aca="false">IFERROR(__xludf.dummyfunction("""COMPUTED_VALUE"""),25416)</f>
        <v>25416</v>
      </c>
      <c r="E102" s="70" t="n">
        <f aca="false">IFERROR(__xludf.dummyfunction("""COMPUTED_VALUE"""),97356)</f>
        <v>97356</v>
      </c>
      <c r="F102" s="70" t="n">
        <f aca="false">IFERROR(__xludf.dummyfunction("""COMPUTED_VALUE"""),104112)</f>
        <v>104112</v>
      </c>
      <c r="G102" s="70" t="n">
        <f aca="false">IFERROR(__xludf.dummyfunction("""COMPUTED_VALUE"""),815667)</f>
        <v>815667</v>
      </c>
      <c r="H102" s="70" t="n">
        <f aca="false">IFERROR(__xludf.dummyfunction("""COMPUTED_VALUE"""),132086)</f>
        <v>132086</v>
      </c>
      <c r="I102" s="70" t="n">
        <f aca="false">IFERROR(__xludf.dummyfunction("""COMPUTED_VALUE"""),78778)</f>
        <v>78778</v>
      </c>
      <c r="J102" s="70" t="n">
        <f aca="false">IFERROR(__xludf.dummyfunction("""COMPUTED_VALUE"""),17163)</f>
        <v>17163</v>
      </c>
      <c r="K102" s="70" t="n">
        <f aca="false">IFERROR(__xludf.dummyfunction("""COMPUTED_VALUE"""),24797)</f>
        <v>24797</v>
      </c>
      <c r="L102" s="70" t="n">
        <f aca="false">IFERROR(__xludf.dummyfunction("""COMPUTED_VALUE"""),296469)</f>
        <v>296469</v>
      </c>
      <c r="M102" s="70" t="n">
        <f aca="false">IFERROR(__xludf.dummyfunction("""COMPUTED_VALUE"""),253595)</f>
        <v>253595</v>
      </c>
      <c r="N102" s="70" t="n">
        <f aca="false">IFERROR(__xludf.dummyfunction("""COMPUTED_VALUE"""),20387)</f>
        <v>20387</v>
      </c>
      <c r="O102" s="70" t="n">
        <f aca="false">IFERROR(__xludf.dummyfunction("""COMPUTED_VALUE"""),45583)</f>
        <v>45583</v>
      </c>
      <c r="P102" s="70" t="n">
        <f aca="false">IFERROR(__xludf.dummyfunction("""COMPUTED_VALUE"""),397456)</f>
        <v>397456</v>
      </c>
      <c r="Q102" s="70" t="n">
        <f aca="false">IFERROR(__xludf.dummyfunction("""COMPUTED_VALUE"""),201117)</f>
        <v>201117</v>
      </c>
      <c r="R102" s="70" t="n">
        <f aca="false">IFERROR(__xludf.dummyfunction("""COMPUTED_VALUE"""),161546)</f>
        <v>161546</v>
      </c>
      <c r="S102" s="70" t="n">
        <f aca="false">IFERROR(__xludf.dummyfunction("""COMPUTED_VALUE"""),112549)</f>
        <v>112549</v>
      </c>
      <c r="T102" s="70" t="n">
        <f aca="false">IFERROR(__xludf.dummyfunction("""COMPUTED_VALUE"""),77902)</f>
        <v>77902</v>
      </c>
      <c r="U102" s="70" t="n">
        <f aca="false">IFERROR(__xludf.dummyfunction("""COMPUTED_VALUE"""),113966)</f>
        <v>113966</v>
      </c>
      <c r="V102" s="70" t="n">
        <f aca="false">IFERROR(__xludf.dummyfunction("""COMPUTED_VALUE"""),41996)</f>
        <v>41996</v>
      </c>
      <c r="W102" s="70" t="n">
        <f aca="false">IFERROR(__xludf.dummyfunction("""COMPUTED_VALUE"""),48177)</f>
        <v>48177</v>
      </c>
      <c r="X102" s="70" t="n">
        <f aca="false">IFERROR(__xludf.dummyfunction("""COMPUTED_VALUE"""),151896)</f>
        <v>151896</v>
      </c>
      <c r="Y102" s="70" t="n">
        <f aca="false">IFERROR(__xludf.dummyfunction("""COMPUTED_VALUE"""),0)</f>
        <v>0</v>
      </c>
      <c r="Z102" s="70" t="n">
        <f aca="false">IFERROR(__xludf.dummyfunction("""COMPUTED_VALUE"""),129121)</f>
        <v>129121</v>
      </c>
      <c r="AA102" s="70" t="n">
        <f aca="false">IFERROR(__xludf.dummyfunction("""COMPUTED_VALUE"""),26307)</f>
        <v>26307</v>
      </c>
      <c r="AB102" s="70" t="n">
        <f aca="false">IFERROR(__xludf.dummyfunction("""COMPUTED_VALUE"""),116437)</f>
        <v>116437</v>
      </c>
      <c r="AC102" s="70" t="n">
        <f aca="false">IFERROR(__xludf.dummyfunction("""COMPUTED_VALUE"""),44219)</f>
        <v>44219</v>
      </c>
      <c r="AD102" s="70" t="n">
        <f aca="false">IFERROR(__xludf.dummyfunction("""COMPUTED_VALUE"""),92167)</f>
        <v>92167</v>
      </c>
      <c r="AE102" s="70" t="n">
        <f aca="false">IFERROR(__xludf.dummyfunction("""COMPUTED_VALUE"""),45453)</f>
        <v>45453</v>
      </c>
      <c r="AF102" s="70" t="n">
        <f aca="false">IFERROR(__xludf.dummyfunction("""COMPUTED_VALUE"""),38029)</f>
        <v>38029</v>
      </c>
      <c r="AG102" s="70" t="n">
        <f aca="false">IFERROR(__xludf.dummyfunction("""COMPUTED_VALUE"""),216639)</f>
        <v>216639</v>
      </c>
      <c r="AH102" s="70" t="n">
        <f aca="false">IFERROR(__xludf.dummyfunction("""COMPUTED_VALUE"""),52630)</f>
        <v>52630</v>
      </c>
      <c r="AI102" s="70" t="n">
        <f aca="false">IFERROR(__xludf.dummyfunction("""COMPUTED_VALUE"""),542781)</f>
        <v>542781</v>
      </c>
      <c r="AJ102" s="70" t="n">
        <f aca="false">IFERROR(__xludf.dummyfunction("""COMPUTED_VALUE"""),294764)</f>
        <v>294764</v>
      </c>
      <c r="AK102" s="70" t="n">
        <f aca="false">IFERROR(__xludf.dummyfunction("""COMPUTED_VALUE"""),30160)</f>
        <v>30160</v>
      </c>
      <c r="AL102" s="70" t="n">
        <f aca="false">IFERROR(__xludf.dummyfunction("""COMPUTED_VALUE"""),454523)</f>
        <v>454523</v>
      </c>
      <c r="AM102" s="70" t="n">
        <f aca="false">IFERROR(__xludf.dummyfunction("""COMPUTED_VALUE"""),138311)</f>
        <v>138311</v>
      </c>
      <c r="AN102" s="70" t="n">
        <f aca="false">IFERROR(__xludf.dummyfunction("""COMPUTED_VALUE"""),47302)</f>
        <v>47302</v>
      </c>
      <c r="AO102" s="70" t="n">
        <f aca="false">IFERROR(__xludf.dummyfunction("""COMPUTED_VALUE"""),450574)</f>
        <v>450574</v>
      </c>
      <c r="AP102" s="70" t="n">
        <f aca="false">IFERROR(__xludf.dummyfunction("""COMPUTED_VALUE"""),31449)</f>
        <v>31449</v>
      </c>
      <c r="AQ102" s="70" t="n">
        <f aca="false">IFERROR(__xludf.dummyfunction("""COMPUTED_VALUE"""),86764)</f>
        <v>86764</v>
      </c>
      <c r="AR102" s="70" t="n">
        <f aca="false">IFERROR(__xludf.dummyfunction("""COMPUTED_VALUE"""),45848)</f>
        <v>45848</v>
      </c>
      <c r="AS102" s="70" t="n">
        <f aca="false">IFERROR(__xludf.dummyfunction("""COMPUTED_VALUE"""),38778)</f>
        <v>38778</v>
      </c>
      <c r="AT102" s="70" t="n">
        <f aca="false">IFERROR(__xludf.dummyfunction("""COMPUTED_VALUE"""),731113)</f>
        <v>731113</v>
      </c>
      <c r="AU102" s="70" t="n">
        <f aca="false">IFERROR(__xludf.dummyfunction("""COMPUTED_VALUE"""),53615)</f>
        <v>53615</v>
      </c>
      <c r="AV102" s="70" t="n">
        <f aca="false">IFERROR(__xludf.dummyfunction("""COMPUTED_VALUE"""),21503)</f>
        <v>21503</v>
      </c>
      <c r="AW102" s="70" t="n">
        <f aca="false">IFERROR(__xludf.dummyfunction("""COMPUTED_VALUE"""),223232)</f>
        <v>223232</v>
      </c>
      <c r="AX102" s="70" t="n">
        <f aca="false">IFERROR(__xludf.dummyfunction("""COMPUTED_VALUE"""),161318)</f>
        <v>161318</v>
      </c>
      <c r="AY102" s="70" t="n">
        <f aca="false">IFERROR(__xludf.dummyfunction("""COMPUTED_VALUE"""),154217)</f>
        <v>154217</v>
      </c>
      <c r="AZ102" s="70" t="n">
        <f aca="false">IFERROR(__xludf.dummyfunction("""COMPUTED_VALUE"""),224206)</f>
        <v>224206</v>
      </c>
      <c r="BA102" s="70" t="n">
        <f aca="false">IFERROR(__xludf.dummyfunction("""COMPUTED_VALUE"""),20775)</f>
        <v>20775</v>
      </c>
    </row>
    <row r="103" customFormat="false" ht="15.75" hidden="false" customHeight="false" outlineLevel="0" collapsed="false">
      <c r="A103" s="78" t="str">
        <f aca="false">IFERROR(__xludf.dummyfunction("""COMPUTED_VALUE"""),"total_value")</f>
        <v>total_value</v>
      </c>
      <c r="B103" s="72" t="n">
        <f aca="false">IFERROR(__xludf.dummyfunction("""COMPUTED_VALUE"""),33157412)</f>
        <v>33157412</v>
      </c>
      <c r="C103" s="73" t="n">
        <f aca="false">IFERROR(__xludf.dummyfunction("""COMPUTED_VALUE"""),796943)</f>
        <v>796943</v>
      </c>
      <c r="D103" s="70" t="n">
        <f aca="false">IFERROR(__xludf.dummyfunction("""COMPUTED_VALUE"""),93254)</f>
        <v>93254</v>
      </c>
      <c r="E103" s="70" t="n">
        <f aca="false">IFERROR(__xludf.dummyfunction("""COMPUTED_VALUE"""),846593)</f>
        <v>846593</v>
      </c>
      <c r="F103" s="70" t="n">
        <f aca="false">IFERROR(__xludf.dummyfunction("""COMPUTED_VALUE"""),856662)</f>
        <v>856662</v>
      </c>
      <c r="G103" s="70" t="n">
        <f aca="false">IFERROR(__xludf.dummyfunction("""COMPUTED_VALUE"""),1915113)</f>
        <v>1915113</v>
      </c>
      <c r="H103" s="70" t="n">
        <f aca="false">IFERROR(__xludf.dummyfunction("""COMPUTED_VALUE"""),592722)</f>
        <v>592722</v>
      </c>
      <c r="I103" s="70" t="n">
        <f aca="false">IFERROR(__xludf.dummyfunction("""COMPUTED_VALUE"""),181090)</f>
        <v>181090</v>
      </c>
      <c r="J103" s="70" t="n">
        <f aca="false">IFERROR(__xludf.dummyfunction("""COMPUTED_VALUE"""),72122)</f>
        <v>72122</v>
      </c>
      <c r="K103" s="70" t="n">
        <f aca="false">IFERROR(__xludf.dummyfunction("""COMPUTED_VALUE"""),35004)</f>
        <v>35004</v>
      </c>
      <c r="L103" s="70" t="n">
        <f aca="false">IFERROR(__xludf.dummyfunction("""COMPUTED_VALUE"""),2156851)</f>
        <v>2156851</v>
      </c>
      <c r="M103" s="70" t="n">
        <f aca="false">IFERROR(__xludf.dummyfunction("""COMPUTED_VALUE"""),640062)</f>
        <v>640062</v>
      </c>
      <c r="N103" s="70" t="n">
        <f aca="false">IFERROR(__xludf.dummyfunction("""COMPUTED_VALUE"""),120478)</f>
        <v>120478</v>
      </c>
      <c r="O103" s="70" t="n">
        <f aca="false">IFERROR(__xludf.dummyfunction("""COMPUTED_VALUE"""),190191)</f>
        <v>190191</v>
      </c>
      <c r="P103" s="70" t="n">
        <f aca="false">IFERROR(__xludf.dummyfunction("""COMPUTED_VALUE"""),1201553)</f>
        <v>1201553</v>
      </c>
      <c r="Q103" s="70" t="n">
        <f aca="false">IFERROR(__xludf.dummyfunction("""COMPUTED_VALUE"""),822464)</f>
        <v>822464</v>
      </c>
      <c r="R103" s="70" t="n">
        <f aca="false">IFERROR(__xludf.dummyfunction("""COMPUTED_VALUE"""),968033)</f>
        <v>968033</v>
      </c>
      <c r="S103" s="70" t="n">
        <f aca="false">IFERROR(__xludf.dummyfunction("""COMPUTED_VALUE"""),494027)</f>
        <v>494027</v>
      </c>
      <c r="T103" s="70" t="n">
        <f aca="false">IFERROR(__xludf.dummyfunction("""COMPUTED_VALUE"""),368426)</f>
        <v>368426</v>
      </c>
      <c r="U103" s="70" t="n">
        <f aca="false">IFERROR(__xludf.dummyfunction("""COMPUTED_VALUE"""),723194)</f>
        <v>723194</v>
      </c>
      <c r="V103" s="70" t="n">
        <f aca="false">IFERROR(__xludf.dummyfunction("""COMPUTED_VALUE"""),129593)</f>
        <v>129593</v>
      </c>
      <c r="W103" s="70" t="n">
        <f aca="false">IFERROR(__xludf.dummyfunction("""COMPUTED_VALUE"""),257229)</f>
        <v>257229</v>
      </c>
      <c r="X103" s="70" t="n">
        <f aca="false">IFERROR(__xludf.dummyfunction("""COMPUTED_VALUE"""),367904)</f>
        <v>367904</v>
      </c>
      <c r="Y103" s="70" t="n">
        <f aca="false">IFERROR(__xludf.dummyfunction("""COMPUTED_VALUE"""),681731)</f>
        <v>681731</v>
      </c>
      <c r="Z103" s="70" t="n">
        <f aca="false">IFERROR(__xludf.dummyfunction("""COMPUTED_VALUE"""),572832)</f>
        <v>572832</v>
      </c>
      <c r="AA103" s="70" t="n">
        <f aca="false">IFERROR(__xludf.dummyfunction("""COMPUTED_VALUE"""),481223)</f>
        <v>481223</v>
      </c>
      <c r="AB103" s="70" t="n">
        <f aca="false">IFERROR(__xludf.dummyfunction("""COMPUTED_VALUE"""),613548)</f>
        <v>613548</v>
      </c>
      <c r="AC103" s="70" t="n">
        <f aca="false">IFERROR(__xludf.dummyfunction("""COMPUTED_VALUE"""),435293)</f>
        <v>435293</v>
      </c>
      <c r="AD103" s="70" t="n">
        <f aca="false">IFERROR(__xludf.dummyfunction("""COMPUTED_VALUE"""),343045)</f>
        <v>343045</v>
      </c>
      <c r="AE103" s="70" t="n">
        <f aca="false">IFERROR(__xludf.dummyfunction("""COMPUTED_VALUE"""),206426)</f>
        <v>206426</v>
      </c>
      <c r="AF103" s="70" t="n">
        <f aca="false">IFERROR(__xludf.dummyfunction("""COMPUTED_VALUE"""),123272)</f>
        <v>123272</v>
      </c>
      <c r="AG103" s="70" t="n">
        <f aca="false">IFERROR(__xludf.dummyfunction("""COMPUTED_VALUE"""),496924)</f>
        <v>496924</v>
      </c>
      <c r="AH103" s="70" t="n">
        <f aca="false">IFERROR(__xludf.dummyfunction("""COMPUTED_VALUE"""),581879)</f>
        <v>581879</v>
      </c>
      <c r="AI103" s="70" t="n">
        <f aca="false">IFERROR(__xludf.dummyfunction("""COMPUTED_VALUE"""),1239991)</f>
        <v>1239991</v>
      </c>
      <c r="AJ103" s="70" t="n">
        <f aca="false">IFERROR(__xludf.dummyfunction("""COMPUTED_VALUE"""),1136692)</f>
        <v>1136692</v>
      </c>
      <c r="AK103" s="70" t="n">
        <f aca="false">IFERROR(__xludf.dummyfunction("""COMPUTED_VALUE"""),408657)</f>
        <v>408657</v>
      </c>
      <c r="AL103" s="70" t="n">
        <f aca="false">IFERROR(__xludf.dummyfunction("""COMPUTED_VALUE"""),1655328)</f>
        <v>1655328</v>
      </c>
      <c r="AM103" s="70" t="n">
        <f aca="false">IFERROR(__xludf.dummyfunction("""COMPUTED_VALUE"""),463160)</f>
        <v>463160</v>
      </c>
      <c r="AN103" s="70" t="n">
        <f aca="false">IFERROR(__xludf.dummyfunction("""COMPUTED_VALUE"""),418816)</f>
        <v>418816</v>
      </c>
      <c r="AO103" s="70" t="n">
        <f aca="false">IFERROR(__xludf.dummyfunction("""COMPUTED_VALUE"""),1222046)</f>
        <v>1222046</v>
      </c>
      <c r="AP103" s="70" t="n">
        <f aca="false">IFERROR(__xludf.dummyfunction("""COMPUTED_VALUE"""),78787)</f>
        <v>78787</v>
      </c>
      <c r="AQ103" s="70" t="n">
        <f aca="false">IFERROR(__xludf.dummyfunction("""COMPUTED_VALUE"""),514937)</f>
        <v>514937</v>
      </c>
      <c r="AR103" s="70" t="n">
        <f aca="false">IFERROR(__xludf.dummyfunction("""COMPUTED_VALUE"""),322001)</f>
        <v>322001</v>
      </c>
      <c r="AS103" s="70" t="n">
        <f aca="false">IFERROR(__xludf.dummyfunction("""COMPUTED_VALUE"""),372566)</f>
        <v>372566</v>
      </c>
      <c r="AT103" s="70" t="n">
        <f aca="false">IFERROR(__xludf.dummyfunction("""COMPUTED_VALUE"""),3776669)</f>
        <v>3776669</v>
      </c>
      <c r="AU103" s="70" t="n">
        <f aca="false">IFERROR(__xludf.dummyfunction("""COMPUTED_VALUE"""),274948)</f>
        <v>274948</v>
      </c>
      <c r="AV103" s="70" t="n">
        <f aca="false">IFERROR(__xludf.dummyfunction("""COMPUTED_VALUE"""),31407)</f>
        <v>31407</v>
      </c>
      <c r="AW103" s="70" t="n">
        <f aca="false">IFERROR(__xludf.dummyfunction("""COMPUTED_VALUE"""),592580)</f>
        <v>592580</v>
      </c>
      <c r="AX103" s="70" t="n">
        <f aca="false">IFERROR(__xludf.dummyfunction("""COMPUTED_VALUE"""),649498)</f>
        <v>649498</v>
      </c>
      <c r="AY103" s="70" t="n">
        <f aca="false">IFERROR(__xludf.dummyfunction("""COMPUTED_VALUE"""),668447)</f>
        <v>668447</v>
      </c>
      <c r="AZ103" s="70" t="n">
        <f aca="false">IFERROR(__xludf.dummyfunction("""COMPUTED_VALUE"""),877548)</f>
        <v>877548</v>
      </c>
      <c r="BA103" s="70" t="n">
        <f aca="false">IFERROR(__xludf.dummyfunction("""COMPUTED_VALUE"""),87653)</f>
        <v>87653</v>
      </c>
    </row>
    <row r="104" customFormat="false" ht="15.75" hidden="false" customHeight="false" outlineLevel="0" collapsed="false">
      <c r="B104" s="59"/>
      <c r="C104" s="79"/>
      <c r="D104" s="80"/>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row>
    <row r="105" customFormat="false" ht="15.75" hidden="false" customHeight="false" outlineLevel="0" collapsed="false">
      <c r="A105" s="74" t="s">
        <v>1817</v>
      </c>
      <c r="B105" s="7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row>
    <row r="106" customFormat="false" ht="15.75" hidden="false" customHeight="false" outlineLevel="0" collapsed="false">
      <c r="A106" s="75" t="str">
        <f aca="false">IFERROR(__xludf.dummyfunction("TRANSPOSE(IMPORTRANGE(""https://docs.google.com/spreadsheets/d/1GKhz9pSyUWFf4Xrp7ACbjr4UA3dMq6VxKG1OCLWM9yA"", ""'Market Assessments'!F4:I56""))"),"year")</f>
        <v>year</v>
      </c>
      <c r="B106" s="56" t="n">
        <f aca="false">IFERROR(__xludf.dummyfunction("""COMPUTED_VALUE"""),36607519)</f>
        <v>36607519</v>
      </c>
      <c r="C106" s="76" t="n">
        <f aca="false">IFERROR(__xludf.dummyfunction("""COMPUTED_VALUE"""),820653)</f>
        <v>820653</v>
      </c>
      <c r="D106" s="77" t="n">
        <f aca="false">IFERROR(__xludf.dummyfunction("""COMPUTED_VALUE"""),106664)</f>
        <v>106664</v>
      </c>
      <c r="E106" s="77" t="n">
        <f aca="false">IFERROR(__xludf.dummyfunction("""COMPUTED_VALUE"""),861527)</f>
        <v>861527</v>
      </c>
      <c r="F106" s="77" t="n">
        <f aca="false">IFERROR(__xludf.dummyfunction("""COMPUTED_VALUE"""),979079)</f>
        <v>979079</v>
      </c>
      <c r="G106" s="77" t="n">
        <f aca="false">IFERROR(__xludf.dummyfunction("""COMPUTED_VALUE"""),2298826)</f>
        <v>2298826</v>
      </c>
      <c r="H106" s="77" t="n">
        <f aca="false">IFERROR(__xludf.dummyfunction("""COMPUTED_VALUE"""),634643)</f>
        <v>634643</v>
      </c>
      <c r="I106" s="77" t="n">
        <f aca="false">IFERROR(__xludf.dummyfunction("""COMPUTED_VALUE"""),182373)</f>
        <v>182373</v>
      </c>
      <c r="J106" s="77" t="n">
        <f aca="false">IFERROR(__xludf.dummyfunction("""COMPUTED_VALUE"""),78259)</f>
        <v>78259</v>
      </c>
      <c r="K106" s="77" t="n">
        <f aca="false">IFERROR(__xludf.dummyfunction("""COMPUTED_VALUE"""),37808)</f>
        <v>37808</v>
      </c>
      <c r="L106" s="77" t="n">
        <f aca="false">IFERROR(__xludf.dummyfunction("""COMPUTED_VALUE"""),2201177)</f>
        <v>2201177</v>
      </c>
      <c r="M106" s="77" t="n">
        <f aca="false">IFERROR(__xludf.dummyfunction("""COMPUTED_VALUE"""),654323)</f>
        <v>654323</v>
      </c>
      <c r="N106" s="77" t="n">
        <f aca="false">IFERROR(__xludf.dummyfunction("""COMPUTED_VALUE"""),122780)</f>
        <v>122780</v>
      </c>
      <c r="O106" s="77" t="n">
        <f aca="false">IFERROR(__xludf.dummyfunction("""COMPUTED_VALUE"""),241326)</f>
        <v>241326</v>
      </c>
      <c r="P106" s="77" t="n">
        <f aca="false">IFERROR(__xludf.dummyfunction("""COMPUTED_VALUE"""),1450322)</f>
        <v>1450322</v>
      </c>
      <c r="Q106" s="77" t="n">
        <f aca="false">IFERROR(__xludf.dummyfunction("""COMPUTED_VALUE"""),974792)</f>
        <v>974792</v>
      </c>
      <c r="R106" s="77" t="n">
        <f aca="false">IFERROR(__xludf.dummyfunction("""COMPUTED_VALUE"""),1057394)</f>
        <v>1057394</v>
      </c>
      <c r="S106" s="77" t="n">
        <f aca="false">IFERROR(__xludf.dummyfunction("""COMPUTED_VALUE"""),552322)</f>
        <v>552322</v>
      </c>
      <c r="T106" s="77" t="n">
        <f aca="false">IFERROR(__xludf.dummyfunction("""COMPUTED_VALUE"""),388812)</f>
        <v>388812</v>
      </c>
      <c r="U106" s="77" t="n">
        <f aca="false">IFERROR(__xludf.dummyfunction("""COMPUTED_VALUE"""),737673)</f>
        <v>737673</v>
      </c>
      <c r="V106" s="77" t="n">
        <f aca="false">IFERROR(__xludf.dummyfunction("""COMPUTED_VALUE"""),132994)</f>
        <v>132994</v>
      </c>
      <c r="W106" s="77" t="n">
        <f aca="false">IFERROR(__xludf.dummyfunction("""COMPUTED_VALUE"""),276188)</f>
        <v>276188</v>
      </c>
      <c r="X106" s="77" t="n">
        <f aca="false">IFERROR(__xludf.dummyfunction("""COMPUTED_VALUE"""),380684)</f>
        <v>380684</v>
      </c>
      <c r="Y106" s="77" t="n">
        <f aca="false">IFERROR(__xludf.dummyfunction("""COMPUTED_VALUE"""),900208)</f>
        <v>900208</v>
      </c>
      <c r="Z106" s="77" t="n">
        <f aca="false">IFERROR(__xludf.dummyfunction("""COMPUTED_VALUE"""),871819)</f>
        <v>871819</v>
      </c>
      <c r="AA106" s="77" t="n">
        <f aca="false">IFERROR(__xludf.dummyfunction("""COMPUTED_VALUE"""),556989)</f>
        <v>556989</v>
      </c>
      <c r="AB106" s="77" t="n">
        <f aca="false">IFERROR(__xludf.dummyfunction("""COMPUTED_VALUE"""),702777)</f>
        <v>702777</v>
      </c>
      <c r="AC106" s="77" t="n">
        <f aca="false">IFERROR(__xludf.dummyfunction("""COMPUTED_VALUE"""),441549)</f>
        <v>441549</v>
      </c>
      <c r="AD106" s="77" t="n">
        <f aca="false">IFERROR(__xludf.dummyfunction("""COMPUTED_VALUE"""),411376)</f>
        <v>411376</v>
      </c>
      <c r="AE106" s="77" t="n">
        <f aca="false">IFERROR(__xludf.dummyfunction("""COMPUTED_VALUE"""),225472)</f>
        <v>225472</v>
      </c>
      <c r="AF106" s="77" t="n">
        <f aca="false">IFERROR(__xludf.dummyfunction("""COMPUTED_VALUE"""),127773)</f>
        <v>127773</v>
      </c>
      <c r="AG106" s="77" t="n">
        <f aca="false">IFERROR(__xludf.dummyfunction("""COMPUTED_VALUE"""),516774)</f>
        <v>516774</v>
      </c>
      <c r="AH106" s="77" t="n">
        <f aca="false">IFERROR(__xludf.dummyfunction("""COMPUTED_VALUE"""),612828)</f>
        <v>612828</v>
      </c>
      <c r="AI106" s="77" t="n">
        <f aca="false">IFERROR(__xludf.dummyfunction("""COMPUTED_VALUE"""),1261183)</f>
        <v>1261183</v>
      </c>
      <c r="AJ106" s="77" t="n">
        <f aca="false">IFERROR(__xludf.dummyfunction("""COMPUTED_VALUE"""),1155872)</f>
        <v>1155872</v>
      </c>
      <c r="AK106" s="77" t="n">
        <f aca="false">IFERROR(__xludf.dummyfunction("""COMPUTED_VALUE"""),459504)</f>
        <v>459504</v>
      </c>
      <c r="AL106" s="77" t="n">
        <f aca="false">IFERROR(__xludf.dummyfunction("""COMPUTED_VALUE"""),1812793)</f>
        <v>1812793</v>
      </c>
      <c r="AM106" s="77" t="n">
        <f aca="false">IFERROR(__xludf.dummyfunction("""COMPUTED_VALUE"""),602771)</f>
        <v>602771</v>
      </c>
      <c r="AN106" s="77" t="n">
        <f aca="false">IFERROR(__xludf.dummyfunction("""COMPUTED_VALUE"""),491379)</f>
        <v>491379</v>
      </c>
      <c r="AO106" s="77" t="n">
        <f aca="false">IFERROR(__xludf.dummyfunction("""COMPUTED_VALUE"""),1255618)</f>
        <v>1255618</v>
      </c>
      <c r="AP106" s="77" t="n">
        <f aca="false">IFERROR(__xludf.dummyfunction("""COMPUTED_VALUE"""),79676)</f>
        <v>79676</v>
      </c>
      <c r="AQ106" s="77" t="n">
        <f aca="false">IFERROR(__xludf.dummyfunction("""COMPUTED_VALUE"""),628145)</f>
        <v>628145</v>
      </c>
      <c r="AR106" s="77" t="n">
        <f aca="false">IFERROR(__xludf.dummyfunction("""COMPUTED_VALUE"""),358147)</f>
        <v>358147</v>
      </c>
      <c r="AS106" s="77" t="n">
        <f aca="false">IFERROR(__xludf.dummyfunction("""COMPUTED_VALUE"""),483209)</f>
        <v>483209</v>
      </c>
      <c r="AT106" s="77" t="n">
        <f aca="false">IFERROR(__xludf.dummyfunction("""COMPUTED_VALUE"""),3881665)</f>
        <v>3881665</v>
      </c>
      <c r="AU106" s="77" t="n">
        <f aca="false">IFERROR(__xludf.dummyfunction("""COMPUTED_VALUE"""),357411)</f>
        <v>357411</v>
      </c>
      <c r="AV106" s="77" t="n">
        <f aca="false">IFERROR(__xludf.dummyfunction("""COMPUTED_VALUE"""),34759)</f>
        <v>34759</v>
      </c>
      <c r="AW106" s="77" t="n">
        <f aca="false">IFERROR(__xludf.dummyfunction("""COMPUTED_VALUE"""),607693)</f>
        <v>607693</v>
      </c>
      <c r="AX106" s="77" t="n">
        <f aca="false">IFERROR(__xludf.dummyfunction("""COMPUTED_VALUE"""),704005)</f>
        <v>704005</v>
      </c>
      <c r="AY106" s="77" t="n">
        <f aca="false">IFERROR(__xludf.dummyfunction("""COMPUTED_VALUE"""),668634)</f>
        <v>668634</v>
      </c>
      <c r="AZ106" s="77" t="n">
        <f aca="false">IFERROR(__xludf.dummyfunction("""COMPUTED_VALUE"""),1125704)</f>
        <v>1125704</v>
      </c>
      <c r="BA106" s="77" t="n">
        <f aca="false">IFERROR(__xludf.dummyfunction("""COMPUTED_VALUE"""),101167)</f>
        <v>101167</v>
      </c>
    </row>
    <row r="107" customFormat="false" ht="15.75" hidden="false" customHeight="false" outlineLevel="0" collapsed="false">
      <c r="A107" s="78" t="str">
        <f aca="false">IFERROR(__xludf.dummyfunction("""COMPUTED_VALUE"""),"land_value")</f>
        <v>land_value</v>
      </c>
      <c r="B107" s="72" t="n">
        <f aca="false">IFERROR(__xludf.dummyfunction("""COMPUTED_VALUE"""),26243845)</f>
        <v>26243845</v>
      </c>
      <c r="C107" s="73" t="n">
        <f aca="false">IFERROR(__xludf.dummyfunction("""COMPUTED_VALUE"""),799460)</f>
        <v>799460</v>
      </c>
      <c r="D107" s="70" t="n">
        <f aca="false">IFERROR(__xludf.dummyfunction("""COMPUTED_VALUE"""),91806)</f>
        <v>91806</v>
      </c>
      <c r="E107" s="70" t="n">
        <f aca="false">IFERROR(__xludf.dummyfunction("""COMPUTED_VALUE"""),686704)</f>
        <v>686704</v>
      </c>
      <c r="F107" s="70" t="n">
        <f aca="false">IFERROR(__xludf.dummyfunction("""COMPUTED_VALUE"""),847745)</f>
        <v>847745</v>
      </c>
      <c r="G107" s="70" t="n">
        <f aca="false">IFERROR(__xludf.dummyfunction("""COMPUTED_VALUE"""),0)</f>
        <v>0</v>
      </c>
      <c r="H107" s="70" t="n">
        <f aca="false">IFERROR(__xludf.dummyfunction("""COMPUTED_VALUE"""),573752)</f>
        <v>573752</v>
      </c>
      <c r="I107" s="70" t="n">
        <f aca="false">IFERROR(__xludf.dummyfunction("""COMPUTED_VALUE"""),0)</f>
        <v>0</v>
      </c>
      <c r="J107" s="70" t="n">
        <f aca="false">IFERROR(__xludf.dummyfunction("""COMPUTED_VALUE"""),0)</f>
        <v>0</v>
      </c>
      <c r="K107" s="70" t="n">
        <f aca="false">IFERROR(__xludf.dummyfunction("""COMPUTED_VALUE"""),35844)</f>
        <v>35844</v>
      </c>
      <c r="L107" s="70" t="n">
        <f aca="false">IFERROR(__xludf.dummyfunction("""COMPUTED_VALUE"""),2105287)</f>
        <v>2105287</v>
      </c>
      <c r="M107" s="70" t="n">
        <f aca="false">IFERROR(__xludf.dummyfunction("""COMPUTED_VALUE"""),640814)</f>
        <v>640814</v>
      </c>
      <c r="N107" s="70" t="n">
        <f aca="false">IFERROR(__xludf.dummyfunction("""COMPUTED_VALUE"""),120125)</f>
        <v>120125</v>
      </c>
      <c r="O107" s="70" t="n">
        <f aca="false">IFERROR(__xludf.dummyfunction("""COMPUTED_VALUE"""),164873)</f>
        <v>164873</v>
      </c>
      <c r="P107" s="70" t="n">
        <f aca="false">IFERROR(__xludf.dummyfunction("""COMPUTED_VALUE"""),463793)</f>
        <v>463793</v>
      </c>
      <c r="Q107" s="70" t="n">
        <f aca="false">IFERROR(__xludf.dummyfunction("""COMPUTED_VALUE"""),816963)</f>
        <v>816963</v>
      </c>
      <c r="R107" s="70" t="n">
        <f aca="false">IFERROR(__xludf.dummyfunction("""COMPUTED_VALUE"""),993488)</f>
        <v>993488</v>
      </c>
      <c r="S107" s="70" t="n">
        <f aca="false">IFERROR(__xludf.dummyfunction("""COMPUTED_VALUE"""),537127)</f>
        <v>537127</v>
      </c>
      <c r="T107" s="70" t="n">
        <f aca="false">IFERROR(__xludf.dummyfunction("""COMPUTED_VALUE"""),180749)</f>
        <v>180749</v>
      </c>
      <c r="U107" s="70" t="n">
        <f aca="false">IFERROR(__xludf.dummyfunction("""COMPUTED_VALUE"""),685187)</f>
        <v>685187</v>
      </c>
      <c r="V107" s="70" t="n">
        <f aca="false">IFERROR(__xludf.dummyfunction("""COMPUTED_VALUE"""),0)</f>
        <v>0</v>
      </c>
      <c r="W107" s="70" t="n">
        <f aca="false">IFERROR(__xludf.dummyfunction("""COMPUTED_VALUE"""),256972)</f>
        <v>256972</v>
      </c>
      <c r="X107" s="70" t="n">
        <f aca="false">IFERROR(__xludf.dummyfunction("""COMPUTED_VALUE"""),0)</f>
        <v>0</v>
      </c>
      <c r="Y107" s="70" t="n">
        <f aca="false">IFERROR(__xludf.dummyfunction("""COMPUTED_VALUE"""),0)</f>
        <v>0</v>
      </c>
      <c r="Z107" s="70" t="n">
        <f aca="false">IFERROR(__xludf.dummyfunction("""COMPUTED_VALUE"""),788055)</f>
        <v>788055</v>
      </c>
      <c r="AA107" s="70" t="n">
        <f aca="false">IFERROR(__xludf.dummyfunction("""COMPUTED_VALUE"""),375427)</f>
        <v>375427</v>
      </c>
      <c r="AB107" s="70" t="n">
        <f aca="false">IFERROR(__xludf.dummyfunction("""COMPUTED_VALUE"""),455571)</f>
        <v>455571</v>
      </c>
      <c r="AC107" s="70" t="n">
        <f aca="false">IFERROR(__xludf.dummyfunction("""COMPUTED_VALUE"""),430173)</f>
        <v>430173</v>
      </c>
      <c r="AD107" s="70" t="n">
        <f aca="false">IFERROR(__xludf.dummyfunction("""COMPUTED_VALUE"""),336308)</f>
        <v>336308</v>
      </c>
      <c r="AE107" s="70" t="n">
        <f aca="false">IFERROR(__xludf.dummyfunction("""COMPUTED_VALUE"""),204249)</f>
        <v>204249</v>
      </c>
      <c r="AF107" s="70" t="n">
        <f aca="false">IFERROR(__xludf.dummyfunction("""COMPUTED_VALUE"""),1044)</f>
        <v>1044</v>
      </c>
      <c r="AG107" s="70" t="n">
        <f aca="false">IFERROR(__xludf.dummyfunction("""COMPUTED_VALUE"""),486019)</f>
        <v>486019</v>
      </c>
      <c r="AH107" s="70" t="n">
        <f aca="false">IFERROR(__xludf.dummyfunction("""COMPUTED_VALUE"""),536310)</f>
        <v>536310</v>
      </c>
      <c r="AI107" s="70" t="n">
        <f aca="false">IFERROR(__xludf.dummyfunction("""COMPUTED_VALUE"""),493826)</f>
        <v>493826</v>
      </c>
      <c r="AJ107" s="70" t="n">
        <f aca="false">IFERROR(__xludf.dummyfunction("""COMPUTED_VALUE"""),1084131)</f>
        <v>1084131</v>
      </c>
      <c r="AK107" s="70" t="n">
        <f aca="false">IFERROR(__xludf.dummyfunction("""COMPUTED_VALUE"""),370710)</f>
        <v>370710</v>
      </c>
      <c r="AL107" s="70" t="n">
        <f aca="false">IFERROR(__xludf.dummyfunction("""COMPUTED_VALUE"""),1654128)</f>
        <v>1654128</v>
      </c>
      <c r="AM107" s="70" t="n">
        <f aca="false">IFERROR(__xludf.dummyfunction("""COMPUTED_VALUE"""),478860)</f>
        <v>478860</v>
      </c>
      <c r="AN107" s="70" t="n">
        <f aca="false">IFERROR(__xludf.dummyfunction("""COMPUTED_VALUE"""),436422)</f>
        <v>436422</v>
      </c>
      <c r="AO107" s="70" t="n">
        <f aca="false">IFERROR(__xludf.dummyfunction("""COMPUTED_VALUE"""),751086)</f>
        <v>751086</v>
      </c>
      <c r="AP107" s="70" t="n">
        <f aca="false">IFERROR(__xludf.dummyfunction("""COMPUTED_VALUE"""),0)</f>
        <v>0</v>
      </c>
      <c r="AQ107" s="70" t="n">
        <f aca="false">IFERROR(__xludf.dummyfunction("""COMPUTED_VALUE"""),522432)</f>
        <v>522432</v>
      </c>
      <c r="AR107" s="70" t="n">
        <f aca="false">IFERROR(__xludf.dummyfunction("""COMPUTED_VALUE"""),228709)</f>
        <v>228709</v>
      </c>
      <c r="AS107" s="70" t="n">
        <f aca="false">IFERROR(__xludf.dummyfunction("""COMPUTED_VALUE"""),436432)</f>
        <v>436432</v>
      </c>
      <c r="AT107" s="70" t="n">
        <f aca="false">IFERROR(__xludf.dummyfunction("""COMPUTED_VALUE"""),3752855)</f>
        <v>3752855</v>
      </c>
      <c r="AU107" s="70" t="n">
        <f aca="false">IFERROR(__xludf.dummyfunction("""COMPUTED_VALUE"""),305846)</f>
        <v>305846</v>
      </c>
      <c r="AV107" s="70" t="n">
        <f aca="false">IFERROR(__xludf.dummyfunction("""COMPUTED_VALUE"""),0)</f>
        <v>0</v>
      </c>
      <c r="AW107" s="70" t="n">
        <f aca="false">IFERROR(__xludf.dummyfunction("""COMPUTED_VALUE"""),578041)</f>
        <v>578041</v>
      </c>
      <c r="AX107" s="70" t="n">
        <f aca="false">IFERROR(__xludf.dummyfunction("""COMPUTED_VALUE"""),638814)</f>
        <v>638814</v>
      </c>
      <c r="AY107" s="70" t="n">
        <f aca="false">IFERROR(__xludf.dummyfunction("""COMPUTED_VALUE"""),668067)</f>
        <v>668067</v>
      </c>
      <c r="AZ107" s="70" t="n">
        <f aca="false">IFERROR(__xludf.dummyfunction("""COMPUTED_VALUE"""),142818)</f>
        <v>142818</v>
      </c>
      <c r="BA107" s="70" t="n">
        <f aca="false">IFERROR(__xludf.dummyfunction("""COMPUTED_VALUE"""),86823)</f>
        <v>86823</v>
      </c>
    </row>
    <row r="108" customFormat="false" ht="15.75" hidden="false" customHeight="false" outlineLevel="0" collapsed="false">
      <c r="A108" s="78" t="str">
        <f aca="false">IFERROR(__xludf.dummyfunction("""COMPUTED_VALUE"""),"improvement_value")</f>
        <v>improvement_value</v>
      </c>
      <c r="B108" s="72" t="n">
        <f aca="false">IFERROR(__xludf.dummyfunction("""COMPUTED_VALUE"""),6650309)</f>
        <v>6650309</v>
      </c>
      <c r="C108" s="73" t="n">
        <f aca="false">IFERROR(__xludf.dummyfunction("""COMPUTED_VALUE"""),157949)</f>
        <v>157949</v>
      </c>
      <c r="D108" s="70" t="n">
        <f aca="false">IFERROR(__xludf.dummyfunction("""COMPUTED_VALUE"""),25416)</f>
        <v>25416</v>
      </c>
      <c r="E108" s="70" t="n">
        <f aca="false">IFERROR(__xludf.dummyfunction("""COMPUTED_VALUE"""),97384)</f>
        <v>97384</v>
      </c>
      <c r="F108" s="70" t="n">
        <f aca="false">IFERROR(__xludf.dummyfunction("""COMPUTED_VALUE"""),104277)</f>
        <v>104277</v>
      </c>
      <c r="G108" s="70" t="n">
        <f aca="false">IFERROR(__xludf.dummyfunction("""COMPUTED_VALUE"""),0)</f>
        <v>0</v>
      </c>
      <c r="H108" s="70" t="n">
        <f aca="false">IFERROR(__xludf.dummyfunction("""COMPUTED_VALUE"""),137862)</f>
        <v>137862</v>
      </c>
      <c r="I108" s="70" t="n">
        <f aca="false">IFERROR(__xludf.dummyfunction("""COMPUTED_VALUE"""),0)</f>
        <v>0</v>
      </c>
      <c r="J108" s="70" t="n">
        <f aca="false">IFERROR(__xludf.dummyfunction("""COMPUTED_VALUE"""),0)</f>
        <v>0</v>
      </c>
      <c r="K108" s="70" t="n">
        <f aca="false">IFERROR(__xludf.dummyfunction("""COMPUTED_VALUE"""),24797)</f>
        <v>24797</v>
      </c>
      <c r="L108" s="70" t="n">
        <f aca="false">IFERROR(__xludf.dummyfunction("""COMPUTED_VALUE"""),452333)</f>
        <v>452333</v>
      </c>
      <c r="M108" s="70" t="n">
        <f aca="false">IFERROR(__xludf.dummyfunction("""COMPUTED_VALUE"""),255396)</f>
        <v>255396</v>
      </c>
      <c r="N108" s="70" t="n">
        <f aca="false">IFERROR(__xludf.dummyfunction("""COMPUTED_VALUE"""),20538)</f>
        <v>20538</v>
      </c>
      <c r="O108" s="70" t="n">
        <f aca="false">IFERROR(__xludf.dummyfunction("""COMPUTED_VALUE"""),45583)</f>
        <v>45583</v>
      </c>
      <c r="P108" s="70" t="n">
        <f aca="false">IFERROR(__xludf.dummyfunction("""COMPUTED_VALUE"""),165755)</f>
        <v>165755</v>
      </c>
      <c r="Q108" s="70" t="n">
        <f aca="false">IFERROR(__xludf.dummyfunction("""COMPUTED_VALUE"""),201117)</f>
        <v>201117</v>
      </c>
      <c r="R108" s="70" t="n">
        <f aca="false">IFERROR(__xludf.dummyfunction("""COMPUTED_VALUE"""),172340)</f>
        <v>172340</v>
      </c>
      <c r="S108" s="70" t="n">
        <f aca="false">IFERROR(__xludf.dummyfunction("""COMPUTED_VALUE"""),139415)</f>
        <v>139415</v>
      </c>
      <c r="T108" s="70" t="n">
        <f aca="false">IFERROR(__xludf.dummyfunction("""COMPUTED_VALUE"""),70536)</f>
        <v>70536</v>
      </c>
      <c r="U108" s="70" t="n">
        <f aca="false">IFERROR(__xludf.dummyfunction("""COMPUTED_VALUE"""),110387)</f>
        <v>110387</v>
      </c>
      <c r="V108" s="70" t="n">
        <f aca="false">IFERROR(__xludf.dummyfunction("""COMPUTED_VALUE"""),0)</f>
        <v>0</v>
      </c>
      <c r="W108" s="70" t="n">
        <f aca="false">IFERROR(__xludf.dummyfunction("""COMPUTED_VALUE"""),88925)</f>
        <v>88925</v>
      </c>
      <c r="X108" s="70" t="n">
        <f aca="false">IFERROR(__xludf.dummyfunction("""COMPUTED_VALUE"""),0)</f>
        <v>0</v>
      </c>
      <c r="Y108" s="70" t="n">
        <f aca="false">IFERROR(__xludf.dummyfunction("""COMPUTED_VALUE"""),0)</f>
        <v>0</v>
      </c>
      <c r="Z108" s="70" t="n">
        <f aca="false">IFERROR(__xludf.dummyfunction("""COMPUTED_VALUE"""),172107)</f>
        <v>172107</v>
      </c>
      <c r="AA108" s="70" t="n">
        <f aca="false">IFERROR(__xludf.dummyfunction("""COMPUTED_VALUE"""),76043)</f>
        <v>76043</v>
      </c>
      <c r="AB108" s="70" t="n">
        <f aca="false">IFERROR(__xludf.dummyfunction("""COMPUTED_VALUE"""),146413)</f>
        <v>146413</v>
      </c>
      <c r="AC108" s="70" t="n">
        <f aca="false">IFERROR(__xludf.dummyfunction("""COMPUTED_VALUE"""),44256)</f>
        <v>44256</v>
      </c>
      <c r="AD108" s="70" t="n">
        <f aca="false">IFERROR(__xludf.dummyfunction("""COMPUTED_VALUE"""),92167)</f>
        <v>92167</v>
      </c>
      <c r="AE108" s="70" t="n">
        <f aca="false">IFERROR(__xludf.dummyfunction("""COMPUTED_VALUE"""),45453)</f>
        <v>45453</v>
      </c>
      <c r="AF108" s="70" t="n">
        <f aca="false">IFERROR(__xludf.dummyfunction("""COMPUTED_VALUE"""),617)</f>
        <v>617</v>
      </c>
      <c r="AG108" s="70" t="n">
        <f aca="false">IFERROR(__xludf.dummyfunction("""COMPUTED_VALUE"""),216638)</f>
        <v>216638</v>
      </c>
      <c r="AH108" s="70" t="n">
        <f aca="false">IFERROR(__xludf.dummyfunction("""COMPUTED_VALUE"""),51656)</f>
        <v>51656</v>
      </c>
      <c r="AI108" s="70" t="n">
        <f aca="false">IFERROR(__xludf.dummyfunction("""COMPUTED_VALUE"""),284050)</f>
        <v>284050</v>
      </c>
      <c r="AJ108" s="70" t="n">
        <f aca="false">IFERROR(__xludf.dummyfunction("""COMPUTED_VALUE"""),292369)</f>
        <v>292369</v>
      </c>
      <c r="AK108" s="70" t="n">
        <f aca="false">IFERROR(__xludf.dummyfunction("""COMPUTED_VALUE"""),30160)</f>
        <v>30160</v>
      </c>
      <c r="AL108" s="70" t="n">
        <f aca="false">IFERROR(__xludf.dummyfunction("""COMPUTED_VALUE"""),456429)</f>
        <v>456429</v>
      </c>
      <c r="AM108" s="70" t="n">
        <f aca="false">IFERROR(__xludf.dummyfunction("""COMPUTED_VALUE"""),141481)</f>
        <v>141481</v>
      </c>
      <c r="AN108" s="70" t="n">
        <f aca="false">IFERROR(__xludf.dummyfunction("""COMPUTED_VALUE"""),147588)</f>
        <v>147588</v>
      </c>
      <c r="AO108" s="70" t="n">
        <f aca="false">IFERROR(__xludf.dummyfunction("""COMPUTED_VALUE"""),296494)</f>
        <v>296494</v>
      </c>
      <c r="AP108" s="70" t="n">
        <f aca="false">IFERROR(__xludf.dummyfunction("""COMPUTED_VALUE"""),0)</f>
        <v>0</v>
      </c>
      <c r="AQ108" s="70" t="n">
        <f aca="false">IFERROR(__xludf.dummyfunction("""COMPUTED_VALUE"""),121547)</f>
        <v>121547</v>
      </c>
      <c r="AR108" s="70" t="n">
        <f aca="false">IFERROR(__xludf.dummyfunction("""COMPUTED_VALUE"""),37418)</f>
        <v>37418</v>
      </c>
      <c r="AS108" s="70" t="n">
        <f aca="false">IFERROR(__xludf.dummyfunction("""COMPUTED_VALUE"""),199387)</f>
        <v>199387</v>
      </c>
      <c r="AT108" s="70" t="n">
        <f aca="false">IFERROR(__xludf.dummyfunction("""COMPUTED_VALUE"""),866283)</f>
        <v>866283</v>
      </c>
      <c r="AU108" s="70" t="n">
        <f aca="false">IFERROR(__xludf.dummyfunction("""COMPUTED_VALUE"""),71801)</f>
        <v>71801</v>
      </c>
      <c r="AV108" s="70" t="n">
        <f aca="false">IFERROR(__xludf.dummyfunction("""COMPUTED_VALUE"""),0)</f>
        <v>0</v>
      </c>
      <c r="AW108" s="70" t="n">
        <f aca="false">IFERROR(__xludf.dummyfunction("""COMPUTED_VALUE"""),219912)</f>
        <v>219912</v>
      </c>
      <c r="AX108" s="70" t="n">
        <f aca="false">IFERROR(__xludf.dummyfunction("""COMPUTED_VALUE"""),164087)</f>
        <v>164087</v>
      </c>
      <c r="AY108" s="70" t="n">
        <f aca="false">IFERROR(__xludf.dummyfunction("""COMPUTED_VALUE"""),154217)</f>
        <v>154217</v>
      </c>
      <c r="AZ108" s="70" t="n">
        <f aca="false">IFERROR(__xludf.dummyfunction("""COMPUTED_VALUE"""),30953)</f>
        <v>30953</v>
      </c>
      <c r="BA108" s="70" t="n">
        <f aca="false">IFERROR(__xludf.dummyfunction("""COMPUTED_VALUE"""),20773)</f>
        <v>20773</v>
      </c>
    </row>
    <row r="109" customFormat="false" ht="15.75" hidden="false" customHeight="false" outlineLevel="0" collapsed="false">
      <c r="A109" s="78" t="str">
        <f aca="false">IFERROR(__xludf.dummyfunction("""COMPUTED_VALUE"""),"total_value")</f>
        <v>total_value</v>
      </c>
      <c r="B109" s="72" t="n">
        <f aca="false">IFERROR(__xludf.dummyfunction("""COMPUTED_VALUE"""),29271403)</f>
        <v>29271403</v>
      </c>
      <c r="C109" s="73" t="n">
        <f aca="false">IFERROR(__xludf.dummyfunction("""COMPUTED_VALUE"""),803196)</f>
        <v>803196</v>
      </c>
      <c r="D109" s="70" t="n">
        <f aca="false">IFERROR(__xludf.dummyfunction("""COMPUTED_VALUE"""),93254)</f>
        <v>93254</v>
      </c>
      <c r="E109" s="70" t="n">
        <f aca="false">IFERROR(__xludf.dummyfunction("""COMPUTED_VALUE"""),847785)</f>
        <v>847785</v>
      </c>
      <c r="F109" s="70" t="n">
        <f aca="false">IFERROR(__xludf.dummyfunction("""COMPUTED_VALUE"""),856333)</f>
        <v>856333</v>
      </c>
      <c r="G109" s="70" t="n">
        <f aca="false">IFERROR(__xludf.dummyfunction("""COMPUTED_VALUE"""),0)</f>
        <v>0</v>
      </c>
      <c r="H109" s="70" t="n">
        <f aca="false">IFERROR(__xludf.dummyfunction("""COMPUTED_VALUE"""),608359)</f>
        <v>608359</v>
      </c>
      <c r="I109" s="70" t="n">
        <f aca="false">IFERROR(__xludf.dummyfunction("""COMPUTED_VALUE"""),0)</f>
        <v>0</v>
      </c>
      <c r="J109" s="70" t="n">
        <f aca="false">IFERROR(__xludf.dummyfunction("""COMPUTED_VALUE"""),0)</f>
        <v>0</v>
      </c>
      <c r="K109" s="70" t="n">
        <f aca="false">IFERROR(__xludf.dummyfunction("""COMPUTED_VALUE"""),35004)</f>
        <v>35004</v>
      </c>
      <c r="L109" s="70" t="n">
        <f aca="false">IFERROR(__xludf.dummyfunction("""COMPUTED_VALUE"""),2156870)</f>
        <v>2156870</v>
      </c>
      <c r="M109" s="70" t="n">
        <f aca="false">IFERROR(__xludf.dummyfunction("""COMPUTED_VALUE"""),647649)</f>
        <v>647649</v>
      </c>
      <c r="N109" s="70" t="n">
        <f aca="false">IFERROR(__xludf.dummyfunction("""COMPUTED_VALUE"""),120477)</f>
        <v>120477</v>
      </c>
      <c r="O109" s="70" t="n">
        <f aca="false">IFERROR(__xludf.dummyfunction("""COMPUTED_VALUE"""),190191)</f>
        <v>190191</v>
      </c>
      <c r="P109" s="70" t="n">
        <f aca="false">IFERROR(__xludf.dummyfunction("""COMPUTED_VALUE"""),656603)</f>
        <v>656603</v>
      </c>
      <c r="Q109" s="70" t="n">
        <f aca="false">IFERROR(__xludf.dummyfunction("""COMPUTED_VALUE"""),822464)</f>
        <v>822464</v>
      </c>
      <c r="R109" s="70" t="n">
        <f aca="false">IFERROR(__xludf.dummyfunction("""COMPUTED_VALUE"""),1007913)</f>
        <v>1007913</v>
      </c>
      <c r="S109" s="70" t="n">
        <f aca="false">IFERROR(__xludf.dummyfunction("""COMPUTED_VALUE"""),540821)</f>
        <v>540821</v>
      </c>
      <c r="T109" s="70" t="n">
        <f aca="false">IFERROR(__xludf.dummyfunction("""COMPUTED_VALUE"""),324333)</f>
        <v>324333</v>
      </c>
      <c r="U109" s="70" t="n">
        <f aca="false">IFERROR(__xludf.dummyfunction("""COMPUTED_VALUE"""),696519)</f>
        <v>696519</v>
      </c>
      <c r="V109" s="70" t="n">
        <f aca="false">IFERROR(__xludf.dummyfunction("""COMPUTED_VALUE"""),0)</f>
        <v>0</v>
      </c>
      <c r="W109" s="70" t="n">
        <f aca="false">IFERROR(__xludf.dummyfunction("""COMPUTED_VALUE"""),257229)</f>
        <v>257229</v>
      </c>
      <c r="X109" s="70" t="n">
        <f aca="false">IFERROR(__xludf.dummyfunction("""COMPUTED_VALUE"""),0)</f>
        <v>0</v>
      </c>
      <c r="Y109" s="70" t="n">
        <f aca="false">IFERROR(__xludf.dummyfunction("""COMPUTED_VALUE"""),681847)</f>
        <v>681847</v>
      </c>
      <c r="Z109" s="70" t="n">
        <f aca="false">IFERROR(__xludf.dummyfunction("""COMPUTED_VALUE"""),832755)</f>
        <v>832755</v>
      </c>
      <c r="AA109" s="70" t="n">
        <f aca="false">IFERROR(__xludf.dummyfunction("""COMPUTED_VALUE"""),377818)</f>
        <v>377818</v>
      </c>
      <c r="AB109" s="70" t="n">
        <f aca="false">IFERROR(__xludf.dummyfunction("""COMPUTED_VALUE"""),612628)</f>
        <v>612628</v>
      </c>
      <c r="AC109" s="70" t="n">
        <f aca="false">IFERROR(__xludf.dummyfunction("""COMPUTED_VALUE"""),435366)</f>
        <v>435366</v>
      </c>
      <c r="AD109" s="70" t="n">
        <f aca="false">IFERROR(__xludf.dummyfunction("""COMPUTED_VALUE"""),343045)</f>
        <v>343045</v>
      </c>
      <c r="AE109" s="70" t="n">
        <f aca="false">IFERROR(__xludf.dummyfunction("""COMPUTED_VALUE"""),206426)</f>
        <v>206426</v>
      </c>
      <c r="AF109" s="70" t="n">
        <f aca="false">IFERROR(__xludf.dummyfunction("""COMPUTED_VALUE"""),2537)</f>
        <v>2537</v>
      </c>
      <c r="AG109" s="70" t="n">
        <f aca="false">IFERROR(__xludf.dummyfunction("""COMPUTED_VALUE"""),496924)</f>
        <v>496924</v>
      </c>
      <c r="AH109" s="70" t="n">
        <f aca="false">IFERROR(__xludf.dummyfunction("""COMPUTED_VALUE"""),557329)</f>
        <v>557329</v>
      </c>
      <c r="AI109" s="70" t="n">
        <f aca="false">IFERROR(__xludf.dummyfunction("""COMPUTED_VALUE"""),1219263)</f>
        <v>1219263</v>
      </c>
      <c r="AJ109" s="70" t="n">
        <f aca="false">IFERROR(__xludf.dummyfunction("""COMPUTED_VALUE"""),1122975)</f>
        <v>1122975</v>
      </c>
      <c r="AK109" s="70" t="n">
        <f aca="false">IFERROR(__xludf.dummyfunction("""COMPUTED_VALUE"""),408737)</f>
        <v>408737</v>
      </c>
      <c r="AL109" s="70" t="n">
        <f aca="false">IFERROR(__xludf.dummyfunction("""COMPUTED_VALUE"""),1664285)</f>
        <v>1664285</v>
      </c>
      <c r="AM109" s="70" t="n">
        <f aca="false">IFERROR(__xludf.dummyfunction("""COMPUTED_VALUE"""),479263)</f>
        <v>479263</v>
      </c>
      <c r="AN109" s="70" t="n">
        <f aca="false">IFERROR(__xludf.dummyfunction("""COMPUTED_VALUE"""),465440)</f>
        <v>465440</v>
      </c>
      <c r="AO109" s="70" t="n">
        <f aca="false">IFERROR(__xludf.dummyfunction("""COMPUTED_VALUE"""),775100)</f>
        <v>775100</v>
      </c>
      <c r="AP109" s="70" t="n">
        <f aca="false">IFERROR(__xludf.dummyfunction("""COMPUTED_VALUE"""),0)</f>
        <v>0</v>
      </c>
      <c r="AQ109" s="70" t="n">
        <f aca="false">IFERROR(__xludf.dummyfunction("""COMPUTED_VALUE"""),580283)</f>
        <v>580283</v>
      </c>
      <c r="AR109" s="70" t="n">
        <f aca="false">IFERROR(__xludf.dummyfunction("""COMPUTED_VALUE"""),239016)</f>
        <v>239016</v>
      </c>
      <c r="AS109" s="70" t="n">
        <f aca="false">IFERROR(__xludf.dummyfunction("""COMPUTED_VALUE"""),444410)</f>
        <v>444410</v>
      </c>
      <c r="AT109" s="70" t="n">
        <f aca="false">IFERROR(__xludf.dummyfunction("""COMPUTED_VALUE"""),3779153)</f>
        <v>3779153</v>
      </c>
      <c r="AU109" s="70" t="n">
        <f aca="false">IFERROR(__xludf.dummyfunction("""COMPUTED_VALUE"""),311773)</f>
        <v>311773</v>
      </c>
      <c r="AV109" s="70" t="n">
        <f aca="false">IFERROR(__xludf.dummyfunction("""COMPUTED_VALUE"""),0)</f>
        <v>0</v>
      </c>
      <c r="AW109" s="70" t="n">
        <f aca="false">IFERROR(__xludf.dummyfunction("""COMPUTED_VALUE"""),586303)</f>
        <v>586303</v>
      </c>
      <c r="AX109" s="70" t="n">
        <f aca="false">IFERROR(__xludf.dummyfunction("""COMPUTED_VALUE"""),645737)</f>
        <v>645737</v>
      </c>
      <c r="AY109" s="70" t="n">
        <f aca="false">IFERROR(__xludf.dummyfunction("""COMPUTED_VALUE"""),668447)</f>
        <v>668447</v>
      </c>
      <c r="AZ109" s="70" t="n">
        <f aca="false">IFERROR(__xludf.dummyfunction("""COMPUTED_VALUE"""),581878)</f>
        <v>581878</v>
      </c>
      <c r="BA109" s="70" t="n">
        <f aca="false">IFERROR(__xludf.dummyfunction("""COMPUTED_VALUE"""),87665)</f>
        <v>87665</v>
      </c>
    </row>
    <row r="110" customFormat="false" ht="15.75" hidden="false" customHeight="false" outlineLevel="0" collapsed="false">
      <c r="B110" s="59"/>
      <c r="C110" s="79"/>
      <c r="D110" s="80"/>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row>
    <row r="111" customFormat="false" ht="15.75" hidden="false" customHeight="false" outlineLevel="0" collapsed="false">
      <c r="A111" s="74" t="s">
        <v>1818</v>
      </c>
      <c r="B111" s="63"/>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row>
    <row r="112" customFormat="false" ht="15.75" hidden="false" customHeight="false" outlineLevel="0" collapsed="false">
      <c r="A112" s="75" t="str">
        <f aca="false">IFERROR(__xludf.dummyfunction("TRANSPOSE(IMPORTRANGE(""https://docs.google.com/spreadsheets/d/1GKhz9pSyUWFf4Xrp7ACbjr4UA3dMq6VxKG1OCLWM9yA"", ""'Valuations'!F4:J56""))"),"value")</f>
        <v>value</v>
      </c>
      <c r="B112" s="56" t="n">
        <f aca="false">IFERROR(__xludf.dummyfunction("""COMPUTED_VALUE"""),20126424)</f>
        <v>20126424</v>
      </c>
      <c r="C112" s="76" t="n">
        <f aca="false">IFERROR(__xludf.dummyfunction("""COMPUTED_VALUE"""),470653)</f>
        <v>470653</v>
      </c>
      <c r="D112" s="77" t="n">
        <f aca="false">IFERROR(__xludf.dummyfunction("""COMPUTED_VALUE"""),54363)</f>
        <v>54363</v>
      </c>
      <c r="E112" s="77" t="n">
        <f aca="false">IFERROR(__xludf.dummyfunction("""COMPUTED_VALUE"""),479195)</f>
        <v>479195</v>
      </c>
      <c r="F112" s="77" t="n">
        <f aca="false">IFERROR(__xludf.dummyfunction("""COMPUTED_VALUE"""),536179)</f>
        <v>536179</v>
      </c>
      <c r="G112" s="77" t="n">
        <f aca="false">IFERROR(__xludf.dummyfunction("""COMPUTED_VALUE"""),1257990)</f>
        <v>1257990</v>
      </c>
      <c r="H112" s="77" t="n">
        <f aca="false">IFERROR(__xludf.dummyfunction("""COMPUTED_VALUE"""),319635)</f>
        <v>319635</v>
      </c>
      <c r="I112" s="77" t="n">
        <f aca="false">IFERROR(__xludf.dummyfunction("""COMPUTED_VALUE"""),62600)</f>
        <v>62600</v>
      </c>
      <c r="J112" s="77" t="n">
        <f aca="false">IFERROR(__xludf.dummyfunction("""COMPUTED_VALUE"""),28072)</f>
        <v>28072</v>
      </c>
      <c r="K112" s="77" t="n">
        <f aca="false">IFERROR(__xludf.dummyfunction("""COMPUTED_VALUE"""),22272)</f>
        <v>22272</v>
      </c>
      <c r="L112" s="77" t="n">
        <f aca="false">IFERROR(__xludf.dummyfunction("""COMPUTED_VALUE"""),1479309)</f>
        <v>1479309</v>
      </c>
      <c r="M112" s="77" t="n">
        <f aca="false">IFERROR(__xludf.dummyfunction("""COMPUTED_VALUE"""),386283)</f>
        <v>386283</v>
      </c>
      <c r="N112" s="77" t="n">
        <f aca="false">IFERROR(__xludf.dummyfunction("""COMPUTED_VALUE"""),79040)</f>
        <v>79040</v>
      </c>
      <c r="O112" s="77" t="n">
        <f aca="false">IFERROR(__xludf.dummyfunction("""COMPUTED_VALUE"""),100055)</f>
        <v>100055</v>
      </c>
      <c r="P112" s="77" t="n">
        <f aca="false">IFERROR(__xludf.dummyfunction("""COMPUTED_VALUE"""),773540)</f>
        <v>773540</v>
      </c>
      <c r="Q112" s="77" t="n">
        <f aca="false">IFERROR(__xludf.dummyfunction("""COMPUTED_VALUE"""),515173)</f>
        <v>515173</v>
      </c>
      <c r="R112" s="77" t="n">
        <f aca="false">IFERROR(__xludf.dummyfunction("""COMPUTED_VALUE"""),528135)</f>
        <v>528135</v>
      </c>
      <c r="S112" s="77" t="n">
        <f aca="false">IFERROR(__xludf.dummyfunction("""COMPUTED_VALUE"""),376095)</f>
        <v>376095</v>
      </c>
      <c r="T112" s="77" t="n">
        <f aca="false">IFERROR(__xludf.dummyfunction("""COMPUTED_VALUE"""),239891)</f>
        <v>239891</v>
      </c>
      <c r="U112" s="77" t="n">
        <f aca="false">IFERROR(__xludf.dummyfunction("""COMPUTED_VALUE"""),423223)</f>
        <v>423223</v>
      </c>
      <c r="V112" s="77" t="n">
        <f aca="false">IFERROR(__xludf.dummyfunction("""COMPUTED_VALUE"""),73278)</f>
        <v>73278</v>
      </c>
      <c r="W112" s="77" t="n">
        <f aca="false">IFERROR(__xludf.dummyfunction("""COMPUTED_VALUE"""),148683)</f>
        <v>148683</v>
      </c>
      <c r="X112" s="77" t="n">
        <f aca="false">IFERROR(__xludf.dummyfunction("""COMPUTED_VALUE"""),180007)</f>
        <v>180007</v>
      </c>
      <c r="Y112" s="77" t="n">
        <f aca="false">IFERROR(__xludf.dummyfunction("""COMPUTED_VALUE"""),478973)</f>
        <v>478973</v>
      </c>
      <c r="Z112" s="77" t="n">
        <f aca="false">IFERROR(__xludf.dummyfunction("""COMPUTED_VALUE"""),410376)</f>
        <v>410376</v>
      </c>
      <c r="AA112" s="77" t="n">
        <f aca="false">IFERROR(__xludf.dummyfunction("""COMPUTED_VALUE"""),335084)</f>
        <v>335084</v>
      </c>
      <c r="AB112" s="77" t="n">
        <f aca="false">IFERROR(__xludf.dummyfunction("""COMPUTED_VALUE"""),371428)</f>
        <v>371428</v>
      </c>
      <c r="AC112" s="77" t="n">
        <f aca="false">IFERROR(__xludf.dummyfunction("""COMPUTED_VALUE"""),196718)</f>
        <v>196718</v>
      </c>
      <c r="AD112" s="77" t="n">
        <f aca="false">IFERROR(__xludf.dummyfunction("""COMPUTED_VALUE"""),227280)</f>
        <v>227280</v>
      </c>
      <c r="AE112" s="77" t="n">
        <f aca="false">IFERROR(__xludf.dummyfunction("""COMPUTED_VALUE"""),118918)</f>
        <v>118918</v>
      </c>
      <c r="AF112" s="77" t="n">
        <f aca="false">IFERROR(__xludf.dummyfunction("""COMPUTED_VALUE"""),65100)</f>
        <v>65100</v>
      </c>
      <c r="AG112" s="77" t="n">
        <f aca="false">IFERROR(__xludf.dummyfunction("""COMPUTED_VALUE"""),259940)</f>
        <v>259940</v>
      </c>
      <c r="AH112" s="77" t="n">
        <f aca="false">IFERROR(__xludf.dummyfunction("""COMPUTED_VALUE"""),316427)</f>
        <v>316427</v>
      </c>
      <c r="AI112" s="77" t="n">
        <f aca="false">IFERROR(__xludf.dummyfunction("""COMPUTED_VALUE"""),678844)</f>
        <v>678844</v>
      </c>
      <c r="AJ112" s="77" t="n">
        <f aca="false">IFERROR(__xludf.dummyfunction("""COMPUTED_VALUE"""),733374)</f>
        <v>733374</v>
      </c>
      <c r="AK112" s="77" t="n">
        <f aca="false">IFERROR(__xludf.dummyfunction("""COMPUTED_VALUE"""),274228)</f>
        <v>274228</v>
      </c>
      <c r="AL112" s="77" t="n">
        <f aca="false">IFERROR(__xludf.dummyfunction("""COMPUTED_VALUE"""),1096772)</f>
        <v>1096772</v>
      </c>
      <c r="AM112" s="77" t="n">
        <f aca="false">IFERROR(__xludf.dummyfunction("""COMPUTED_VALUE"""),357628)</f>
        <v>357628</v>
      </c>
      <c r="AN112" s="77" t="n">
        <f aca="false">IFERROR(__xludf.dummyfunction("""COMPUTED_VALUE"""),216304)</f>
        <v>216304</v>
      </c>
      <c r="AO112" s="77" t="n">
        <f aca="false">IFERROR(__xludf.dummyfunction("""COMPUTED_VALUE"""),853091)</f>
        <v>853091</v>
      </c>
      <c r="AP112" s="77" t="n">
        <f aca="false">IFERROR(__xludf.dummyfunction("""COMPUTED_VALUE"""),33074)</f>
        <v>33074</v>
      </c>
      <c r="AQ112" s="77" t="n">
        <f aca="false">IFERROR(__xludf.dummyfunction("""COMPUTED_VALUE"""),372648)</f>
        <v>372648</v>
      </c>
      <c r="AR112" s="77" t="n">
        <f aca="false">IFERROR(__xludf.dummyfunction("""COMPUTED_VALUE"""),112595)</f>
        <v>112595</v>
      </c>
      <c r="AS112" s="77" t="n">
        <f aca="false">IFERROR(__xludf.dummyfunction("""COMPUTED_VALUE"""),308508)</f>
        <v>308508</v>
      </c>
      <c r="AT112" s="77" t="n">
        <f aca="false">IFERROR(__xludf.dummyfunction("""COMPUTED_VALUE"""),1844036)</f>
        <v>1844036</v>
      </c>
      <c r="AU112" s="77" t="n">
        <f aca="false">IFERROR(__xludf.dummyfunction("""COMPUTED_VALUE"""),136718)</f>
        <v>136718</v>
      </c>
      <c r="AV112" s="77" t="n">
        <f aca="false">IFERROR(__xludf.dummyfunction("""COMPUTED_VALUE"""),13293)</f>
        <v>13293</v>
      </c>
      <c r="AW112" s="77" t="n">
        <f aca="false">IFERROR(__xludf.dummyfunction("""COMPUTED_VALUE"""),326473)</f>
        <v>326473</v>
      </c>
      <c r="AX112" s="77" t="n">
        <f aca="false">IFERROR(__xludf.dummyfunction("""COMPUTED_VALUE"""),407030)</f>
        <v>407030</v>
      </c>
      <c r="AY112" s="77" t="n">
        <f aca="false">IFERROR(__xludf.dummyfunction("""COMPUTED_VALUE"""),472949)</f>
        <v>472949</v>
      </c>
      <c r="AZ112" s="77" t="n">
        <f aca="false">IFERROR(__xludf.dummyfunction("""COMPUTED_VALUE"""),530198)</f>
        <v>530198</v>
      </c>
      <c r="BA112" s="77" t="n">
        <f aca="false">IFERROR(__xludf.dummyfunction("""COMPUTED_VALUE"""),44746)</f>
        <v>44746</v>
      </c>
    </row>
    <row r="113" customFormat="false" ht="15.75" hidden="false" customHeight="false" outlineLevel="0" collapsed="false">
      <c r="A113" s="78" t="str">
        <f aca="false">IFERROR(__xludf.dummyfunction("""COMPUTED_VALUE"""),"low")</f>
        <v>low</v>
      </c>
      <c r="B113" s="72" t="n">
        <f aca="false">IFERROR(__xludf.dummyfunction("""COMPUTED_VALUE"""),18863408)</f>
        <v>18863408</v>
      </c>
      <c r="C113" s="73" t="n">
        <f aca="false">IFERROR(__xludf.dummyfunction("""COMPUTED_VALUE"""),456522)</f>
        <v>456522</v>
      </c>
      <c r="D113" s="70" t="n">
        <f aca="false">IFERROR(__xludf.dummyfunction("""COMPUTED_VALUE"""),52843)</f>
        <v>52843</v>
      </c>
      <c r="E113" s="70" t="n">
        <f aca="false">IFERROR(__xludf.dummyfunction("""COMPUTED_VALUE"""),429169)</f>
        <v>429169</v>
      </c>
      <c r="F113" s="70" t="n">
        <f aca="false">IFERROR(__xludf.dummyfunction("""COMPUTED_VALUE"""),516509)</f>
        <v>516509</v>
      </c>
      <c r="G113" s="70" t="n">
        <f aca="false">IFERROR(__xludf.dummyfunction("""COMPUTED_VALUE"""),1084469)</f>
        <v>1084469</v>
      </c>
      <c r="H113" s="70" t="n">
        <f aca="false">IFERROR(__xludf.dummyfunction("""COMPUTED_VALUE"""),285821)</f>
        <v>285821</v>
      </c>
      <c r="I113" s="70" t="n">
        <f aca="false">IFERROR(__xludf.dummyfunction("""COMPUTED_VALUE"""),59355)</f>
        <v>59355</v>
      </c>
      <c r="J113" s="70" t="n">
        <f aca="false">IFERROR(__xludf.dummyfunction("""COMPUTED_VALUE"""),22627)</f>
        <v>22627</v>
      </c>
      <c r="K113" s="70" t="n">
        <f aca="false">IFERROR(__xludf.dummyfunction("""COMPUTED_VALUE"""),17672)</f>
        <v>17672</v>
      </c>
      <c r="L113" s="70" t="n">
        <f aca="false">IFERROR(__xludf.dummyfunction("""COMPUTED_VALUE"""),1327775)</f>
        <v>1327775</v>
      </c>
      <c r="M113" s="70" t="n">
        <f aca="false">IFERROR(__xludf.dummyfunction("""COMPUTED_VALUE"""),344391)</f>
        <v>344391</v>
      </c>
      <c r="N113" s="70" t="n">
        <f aca="false">IFERROR(__xludf.dummyfunction("""COMPUTED_VALUE"""),71133)</f>
        <v>71133</v>
      </c>
      <c r="O113" s="70" t="n">
        <f aca="false">IFERROR(__xludf.dummyfunction("""COMPUTED_VALUE"""),96997)</f>
        <v>96997</v>
      </c>
      <c r="P113" s="70" t="n">
        <f aca="false">IFERROR(__xludf.dummyfunction("""COMPUTED_VALUE"""),714482)</f>
        <v>714482</v>
      </c>
      <c r="Q113" s="70" t="n">
        <f aca="false">IFERROR(__xludf.dummyfunction("""COMPUTED_VALUE"""),501079)</f>
        <v>501079</v>
      </c>
      <c r="R113" s="70" t="n">
        <f aca="false">IFERROR(__xludf.dummyfunction("""COMPUTED_VALUE"""),511514)</f>
        <v>511514</v>
      </c>
      <c r="S113" s="70" t="n">
        <f aca="false">IFERROR(__xludf.dummyfunction("""COMPUTED_VALUE"""),361088)</f>
        <v>361088</v>
      </c>
      <c r="T113" s="70" t="n">
        <f aca="false">IFERROR(__xludf.dummyfunction("""COMPUTED_VALUE"""),228439)</f>
        <v>228439</v>
      </c>
      <c r="U113" s="70" t="n">
        <f aca="false">IFERROR(__xludf.dummyfunction("""COMPUTED_VALUE"""),413622)</f>
        <v>413622</v>
      </c>
      <c r="V113" s="70" t="n">
        <f aca="false">IFERROR(__xludf.dummyfunction("""COMPUTED_VALUE"""),72363)</f>
        <v>72363</v>
      </c>
      <c r="W113" s="70" t="n">
        <f aca="false">IFERROR(__xludf.dummyfunction("""COMPUTED_VALUE"""),127040)</f>
        <v>127040</v>
      </c>
      <c r="X113" s="70" t="n">
        <f aca="false">IFERROR(__xludf.dummyfunction("""COMPUTED_VALUE"""),165970)</f>
        <v>165970</v>
      </c>
      <c r="Y113" s="70" t="n">
        <f aca="false">IFERROR(__xludf.dummyfunction("""COMPUTED_VALUE"""),450966)</f>
        <v>450966</v>
      </c>
      <c r="Z113" s="70" t="n">
        <f aca="false">IFERROR(__xludf.dummyfunction("""COMPUTED_VALUE"""),384458)</f>
        <v>384458</v>
      </c>
      <c r="AA113" s="70" t="n">
        <f aca="false">IFERROR(__xludf.dummyfunction("""COMPUTED_VALUE"""),334209)</f>
        <v>334209</v>
      </c>
      <c r="AB113" s="70" t="n">
        <f aca="false">IFERROR(__xludf.dummyfunction("""COMPUTED_VALUE"""),362576)</f>
        <v>362576</v>
      </c>
      <c r="AC113" s="70" t="n">
        <f aca="false">IFERROR(__xludf.dummyfunction("""COMPUTED_VALUE"""),193914)</f>
        <v>193914</v>
      </c>
      <c r="AD113" s="70" t="n">
        <f aca="false">IFERROR(__xludf.dummyfunction("""COMPUTED_VALUE"""),210526)</f>
        <v>210526</v>
      </c>
      <c r="AE113" s="70" t="n">
        <f aca="false">IFERROR(__xludf.dummyfunction("""COMPUTED_VALUE"""),105832)</f>
        <v>105832</v>
      </c>
      <c r="AF113" s="70" t="n">
        <f aca="false">IFERROR(__xludf.dummyfunction("""COMPUTED_VALUE"""),63024)</f>
        <v>63024</v>
      </c>
      <c r="AG113" s="70" t="n">
        <f aca="false">IFERROR(__xludf.dummyfunction("""COMPUTED_VALUE"""),216105)</f>
        <v>216105</v>
      </c>
      <c r="AH113" s="70" t="n">
        <f aca="false">IFERROR(__xludf.dummyfunction("""COMPUTED_VALUE"""),313687)</f>
        <v>313687</v>
      </c>
      <c r="AI113" s="70" t="n">
        <f aca="false">IFERROR(__xludf.dummyfunction("""COMPUTED_VALUE"""),599266)</f>
        <v>599266</v>
      </c>
      <c r="AJ113" s="70" t="n">
        <f aca="false">IFERROR(__xludf.dummyfunction("""COMPUTED_VALUE"""),699284)</f>
        <v>699284</v>
      </c>
      <c r="AK113" s="70" t="n">
        <f aca="false">IFERROR(__xludf.dummyfunction("""COMPUTED_VALUE"""),270806)</f>
        <v>270806</v>
      </c>
      <c r="AL113" s="70" t="n">
        <f aca="false">IFERROR(__xludf.dummyfunction("""COMPUTED_VALUE"""),1047650)</f>
        <v>1047650</v>
      </c>
      <c r="AM113" s="70" t="n">
        <f aca="false">IFERROR(__xludf.dummyfunction("""COMPUTED_VALUE"""),341161)</f>
        <v>341161</v>
      </c>
      <c r="AN113" s="70" t="n">
        <f aca="false">IFERROR(__xludf.dummyfunction("""COMPUTED_VALUE"""),192604)</f>
        <v>192604</v>
      </c>
      <c r="AO113" s="70" t="n">
        <f aca="false">IFERROR(__xludf.dummyfunction("""COMPUTED_VALUE"""),812204)</f>
        <v>812204</v>
      </c>
      <c r="AP113" s="70" t="n">
        <f aca="false">IFERROR(__xludf.dummyfunction("""COMPUTED_VALUE"""),32139)</f>
        <v>32139</v>
      </c>
      <c r="AQ113" s="70" t="n">
        <f aca="false">IFERROR(__xludf.dummyfunction("""COMPUTED_VALUE"""),347859)</f>
        <v>347859</v>
      </c>
      <c r="AR113" s="70" t="n">
        <f aca="false">IFERROR(__xludf.dummyfunction("""COMPUTED_VALUE"""),110911)</f>
        <v>110911</v>
      </c>
      <c r="AS113" s="70" t="n">
        <f aca="false">IFERROR(__xludf.dummyfunction("""COMPUTED_VALUE"""),288782)</f>
        <v>288782</v>
      </c>
      <c r="AT113" s="70" t="n">
        <f aca="false">IFERROR(__xludf.dummyfunction("""COMPUTED_VALUE"""),1799438)</f>
        <v>1799438</v>
      </c>
      <c r="AU113" s="70" t="n">
        <f aca="false">IFERROR(__xludf.dummyfunction("""COMPUTED_VALUE"""),131021)</f>
        <v>131021</v>
      </c>
      <c r="AV113" s="70" t="n">
        <f aca="false">IFERROR(__xludf.dummyfunction("""COMPUTED_VALUE"""),12837)</f>
        <v>12837</v>
      </c>
      <c r="AW113" s="70" t="n">
        <f aca="false">IFERROR(__xludf.dummyfunction("""COMPUTED_VALUE"""),290591)</f>
        <v>290591</v>
      </c>
      <c r="AX113" s="70" t="n">
        <f aca="false">IFERROR(__xludf.dummyfunction("""COMPUTED_VALUE"""),365059)</f>
        <v>365059</v>
      </c>
      <c r="AY113" s="70" t="n">
        <f aca="false">IFERROR(__xludf.dummyfunction("""COMPUTED_VALUE"""),471621)</f>
        <v>471621</v>
      </c>
      <c r="AZ113" s="70" t="n">
        <f aca="false">IFERROR(__xludf.dummyfunction("""COMPUTED_VALUE"""),510040)</f>
        <v>510040</v>
      </c>
      <c r="BA113" s="70" t="n">
        <f aca="false">IFERROR(__xludf.dummyfunction("""COMPUTED_VALUE"""),43958)</f>
        <v>43958</v>
      </c>
    </row>
    <row r="114" customFormat="false" ht="15.75" hidden="false" customHeight="false" outlineLevel="0" collapsed="false">
      <c r="A114" s="78" t="str">
        <f aca="false">IFERROR(__xludf.dummyfunction("""COMPUTED_VALUE"""),"high")</f>
        <v>high</v>
      </c>
      <c r="B114" s="72" t="n">
        <f aca="false">IFERROR(__xludf.dummyfunction("""COMPUTED_VALUE"""),18863408)</f>
        <v>18863408</v>
      </c>
      <c r="C114" s="73" t="n">
        <f aca="false">IFERROR(__xludf.dummyfunction("""COMPUTED_VALUE"""),456522)</f>
        <v>456522</v>
      </c>
      <c r="D114" s="70" t="n">
        <f aca="false">IFERROR(__xludf.dummyfunction("""COMPUTED_VALUE"""),52843)</f>
        <v>52843</v>
      </c>
      <c r="E114" s="70" t="n">
        <f aca="false">IFERROR(__xludf.dummyfunction("""COMPUTED_VALUE"""),429169)</f>
        <v>429169</v>
      </c>
      <c r="F114" s="70" t="n">
        <f aca="false">IFERROR(__xludf.dummyfunction("""COMPUTED_VALUE"""),516509)</f>
        <v>516509</v>
      </c>
      <c r="G114" s="70" t="n">
        <f aca="false">IFERROR(__xludf.dummyfunction("""COMPUTED_VALUE"""),1084469)</f>
        <v>1084469</v>
      </c>
      <c r="H114" s="70" t="n">
        <f aca="false">IFERROR(__xludf.dummyfunction("""COMPUTED_VALUE"""),285821)</f>
        <v>285821</v>
      </c>
      <c r="I114" s="70" t="n">
        <f aca="false">IFERROR(__xludf.dummyfunction("""COMPUTED_VALUE"""),59355)</f>
        <v>59355</v>
      </c>
      <c r="J114" s="70" t="n">
        <f aca="false">IFERROR(__xludf.dummyfunction("""COMPUTED_VALUE"""),22627)</f>
        <v>22627</v>
      </c>
      <c r="K114" s="70" t="n">
        <f aca="false">IFERROR(__xludf.dummyfunction("""COMPUTED_VALUE"""),17672)</f>
        <v>17672</v>
      </c>
      <c r="L114" s="70" t="n">
        <f aca="false">IFERROR(__xludf.dummyfunction("""COMPUTED_VALUE"""),1327775)</f>
        <v>1327775</v>
      </c>
      <c r="M114" s="70" t="n">
        <f aca="false">IFERROR(__xludf.dummyfunction("""COMPUTED_VALUE"""),344391)</f>
        <v>344391</v>
      </c>
      <c r="N114" s="70" t="n">
        <f aca="false">IFERROR(__xludf.dummyfunction("""COMPUTED_VALUE"""),71133)</f>
        <v>71133</v>
      </c>
      <c r="O114" s="70" t="n">
        <f aca="false">IFERROR(__xludf.dummyfunction("""COMPUTED_VALUE"""),96997)</f>
        <v>96997</v>
      </c>
      <c r="P114" s="70" t="n">
        <f aca="false">IFERROR(__xludf.dummyfunction("""COMPUTED_VALUE"""),714482)</f>
        <v>714482</v>
      </c>
      <c r="Q114" s="70" t="n">
        <f aca="false">IFERROR(__xludf.dummyfunction("""COMPUTED_VALUE"""),501079)</f>
        <v>501079</v>
      </c>
      <c r="R114" s="70" t="n">
        <f aca="false">IFERROR(__xludf.dummyfunction("""COMPUTED_VALUE"""),511514)</f>
        <v>511514</v>
      </c>
      <c r="S114" s="70" t="n">
        <f aca="false">IFERROR(__xludf.dummyfunction("""COMPUTED_VALUE"""),361088)</f>
        <v>361088</v>
      </c>
      <c r="T114" s="70" t="n">
        <f aca="false">IFERROR(__xludf.dummyfunction("""COMPUTED_VALUE"""),228439)</f>
        <v>228439</v>
      </c>
      <c r="U114" s="70" t="n">
        <f aca="false">IFERROR(__xludf.dummyfunction("""COMPUTED_VALUE"""),413622)</f>
        <v>413622</v>
      </c>
      <c r="V114" s="70" t="n">
        <f aca="false">IFERROR(__xludf.dummyfunction("""COMPUTED_VALUE"""),72363)</f>
        <v>72363</v>
      </c>
      <c r="W114" s="70" t="n">
        <f aca="false">IFERROR(__xludf.dummyfunction("""COMPUTED_VALUE"""),127040)</f>
        <v>127040</v>
      </c>
      <c r="X114" s="70" t="n">
        <f aca="false">IFERROR(__xludf.dummyfunction("""COMPUTED_VALUE"""),165970)</f>
        <v>165970</v>
      </c>
      <c r="Y114" s="70" t="n">
        <f aca="false">IFERROR(__xludf.dummyfunction("""COMPUTED_VALUE"""),450966)</f>
        <v>450966</v>
      </c>
      <c r="Z114" s="70" t="n">
        <f aca="false">IFERROR(__xludf.dummyfunction("""COMPUTED_VALUE"""),384458)</f>
        <v>384458</v>
      </c>
      <c r="AA114" s="70" t="n">
        <f aca="false">IFERROR(__xludf.dummyfunction("""COMPUTED_VALUE"""),334209)</f>
        <v>334209</v>
      </c>
      <c r="AB114" s="70" t="n">
        <f aca="false">IFERROR(__xludf.dummyfunction("""COMPUTED_VALUE"""),362576)</f>
        <v>362576</v>
      </c>
      <c r="AC114" s="70" t="n">
        <f aca="false">IFERROR(__xludf.dummyfunction("""COMPUTED_VALUE"""),193914)</f>
        <v>193914</v>
      </c>
      <c r="AD114" s="70" t="n">
        <f aca="false">IFERROR(__xludf.dummyfunction("""COMPUTED_VALUE"""),210526)</f>
        <v>210526</v>
      </c>
      <c r="AE114" s="70" t="n">
        <f aca="false">IFERROR(__xludf.dummyfunction("""COMPUTED_VALUE"""),105832)</f>
        <v>105832</v>
      </c>
      <c r="AF114" s="70" t="n">
        <f aca="false">IFERROR(__xludf.dummyfunction("""COMPUTED_VALUE"""),63024)</f>
        <v>63024</v>
      </c>
      <c r="AG114" s="70" t="n">
        <f aca="false">IFERROR(__xludf.dummyfunction("""COMPUTED_VALUE"""),216105)</f>
        <v>216105</v>
      </c>
      <c r="AH114" s="70" t="n">
        <f aca="false">IFERROR(__xludf.dummyfunction("""COMPUTED_VALUE"""),313687)</f>
        <v>313687</v>
      </c>
      <c r="AI114" s="70" t="n">
        <f aca="false">IFERROR(__xludf.dummyfunction("""COMPUTED_VALUE"""),599266)</f>
        <v>599266</v>
      </c>
      <c r="AJ114" s="70" t="n">
        <f aca="false">IFERROR(__xludf.dummyfunction("""COMPUTED_VALUE"""),699284)</f>
        <v>699284</v>
      </c>
      <c r="AK114" s="70" t="n">
        <f aca="false">IFERROR(__xludf.dummyfunction("""COMPUTED_VALUE"""),270806)</f>
        <v>270806</v>
      </c>
      <c r="AL114" s="70" t="n">
        <f aca="false">IFERROR(__xludf.dummyfunction("""COMPUTED_VALUE"""),1047650)</f>
        <v>1047650</v>
      </c>
      <c r="AM114" s="70" t="n">
        <f aca="false">IFERROR(__xludf.dummyfunction("""COMPUTED_VALUE"""),341161)</f>
        <v>341161</v>
      </c>
      <c r="AN114" s="70" t="n">
        <f aca="false">IFERROR(__xludf.dummyfunction("""COMPUTED_VALUE"""),192604)</f>
        <v>192604</v>
      </c>
      <c r="AO114" s="70" t="n">
        <f aca="false">IFERROR(__xludf.dummyfunction("""COMPUTED_VALUE"""),812204)</f>
        <v>812204</v>
      </c>
      <c r="AP114" s="70" t="n">
        <f aca="false">IFERROR(__xludf.dummyfunction("""COMPUTED_VALUE"""),32139)</f>
        <v>32139</v>
      </c>
      <c r="AQ114" s="70" t="n">
        <f aca="false">IFERROR(__xludf.dummyfunction("""COMPUTED_VALUE"""),347859)</f>
        <v>347859</v>
      </c>
      <c r="AR114" s="70" t="n">
        <f aca="false">IFERROR(__xludf.dummyfunction("""COMPUTED_VALUE"""),110911)</f>
        <v>110911</v>
      </c>
      <c r="AS114" s="70" t="n">
        <f aca="false">IFERROR(__xludf.dummyfunction("""COMPUTED_VALUE"""),288782)</f>
        <v>288782</v>
      </c>
      <c r="AT114" s="70" t="n">
        <f aca="false">IFERROR(__xludf.dummyfunction("""COMPUTED_VALUE"""),1799438)</f>
        <v>1799438</v>
      </c>
      <c r="AU114" s="70" t="n">
        <f aca="false">IFERROR(__xludf.dummyfunction("""COMPUTED_VALUE"""),131021)</f>
        <v>131021</v>
      </c>
      <c r="AV114" s="70" t="n">
        <f aca="false">IFERROR(__xludf.dummyfunction("""COMPUTED_VALUE"""),12837)</f>
        <v>12837</v>
      </c>
      <c r="AW114" s="70" t="n">
        <f aca="false">IFERROR(__xludf.dummyfunction("""COMPUTED_VALUE"""),290591)</f>
        <v>290591</v>
      </c>
      <c r="AX114" s="70" t="n">
        <f aca="false">IFERROR(__xludf.dummyfunction("""COMPUTED_VALUE"""),365059)</f>
        <v>365059</v>
      </c>
      <c r="AY114" s="70" t="n">
        <f aca="false">IFERROR(__xludf.dummyfunction("""COMPUTED_VALUE"""),471621)</f>
        <v>471621</v>
      </c>
      <c r="AZ114" s="70" t="n">
        <f aca="false">IFERROR(__xludf.dummyfunction("""COMPUTED_VALUE"""),510040)</f>
        <v>510040</v>
      </c>
      <c r="BA114" s="70" t="n">
        <f aca="false">IFERROR(__xludf.dummyfunction("""COMPUTED_VALUE"""),43958)</f>
        <v>43958</v>
      </c>
    </row>
    <row r="115" customFormat="false" ht="15.75" hidden="false" customHeight="false" outlineLevel="0" collapsed="false">
      <c r="A115" s="78" t="str">
        <f aca="false">IFERROR(__xludf.dummyfunction("""COMPUTED_VALUE"""),"forecast_standard_deviation")</f>
        <v>forecast_standard_deviation</v>
      </c>
      <c r="B115" s="72" t="n">
        <f aca="false">IFERROR(__xludf.dummyfunction("""COMPUTED_VALUE"""),18863408)</f>
        <v>18863408</v>
      </c>
      <c r="C115" s="73" t="n">
        <f aca="false">IFERROR(__xludf.dummyfunction("""COMPUTED_VALUE"""),456522)</f>
        <v>456522</v>
      </c>
      <c r="D115" s="70" t="n">
        <f aca="false">IFERROR(__xludf.dummyfunction("""COMPUTED_VALUE"""),52843)</f>
        <v>52843</v>
      </c>
      <c r="E115" s="70" t="n">
        <f aca="false">IFERROR(__xludf.dummyfunction("""COMPUTED_VALUE"""),429169)</f>
        <v>429169</v>
      </c>
      <c r="F115" s="70" t="n">
        <f aca="false">IFERROR(__xludf.dummyfunction("""COMPUTED_VALUE"""),516509)</f>
        <v>516509</v>
      </c>
      <c r="G115" s="70" t="n">
        <f aca="false">IFERROR(__xludf.dummyfunction("""COMPUTED_VALUE"""),1084469)</f>
        <v>1084469</v>
      </c>
      <c r="H115" s="70" t="n">
        <f aca="false">IFERROR(__xludf.dummyfunction("""COMPUTED_VALUE"""),285821)</f>
        <v>285821</v>
      </c>
      <c r="I115" s="70" t="n">
        <f aca="false">IFERROR(__xludf.dummyfunction("""COMPUTED_VALUE"""),59355)</f>
        <v>59355</v>
      </c>
      <c r="J115" s="70" t="n">
        <f aca="false">IFERROR(__xludf.dummyfunction("""COMPUTED_VALUE"""),22627)</f>
        <v>22627</v>
      </c>
      <c r="K115" s="70" t="n">
        <f aca="false">IFERROR(__xludf.dummyfunction("""COMPUTED_VALUE"""),17672)</f>
        <v>17672</v>
      </c>
      <c r="L115" s="70" t="n">
        <f aca="false">IFERROR(__xludf.dummyfunction("""COMPUTED_VALUE"""),1327775)</f>
        <v>1327775</v>
      </c>
      <c r="M115" s="70" t="n">
        <f aca="false">IFERROR(__xludf.dummyfunction("""COMPUTED_VALUE"""),344391)</f>
        <v>344391</v>
      </c>
      <c r="N115" s="70" t="n">
        <f aca="false">IFERROR(__xludf.dummyfunction("""COMPUTED_VALUE"""),71133)</f>
        <v>71133</v>
      </c>
      <c r="O115" s="70" t="n">
        <f aca="false">IFERROR(__xludf.dummyfunction("""COMPUTED_VALUE"""),96997)</f>
        <v>96997</v>
      </c>
      <c r="P115" s="70" t="n">
        <f aca="false">IFERROR(__xludf.dummyfunction("""COMPUTED_VALUE"""),714482)</f>
        <v>714482</v>
      </c>
      <c r="Q115" s="70" t="n">
        <f aca="false">IFERROR(__xludf.dummyfunction("""COMPUTED_VALUE"""),501079)</f>
        <v>501079</v>
      </c>
      <c r="R115" s="70" t="n">
        <f aca="false">IFERROR(__xludf.dummyfunction("""COMPUTED_VALUE"""),511514)</f>
        <v>511514</v>
      </c>
      <c r="S115" s="70" t="n">
        <f aca="false">IFERROR(__xludf.dummyfunction("""COMPUTED_VALUE"""),361088)</f>
        <v>361088</v>
      </c>
      <c r="T115" s="70" t="n">
        <f aca="false">IFERROR(__xludf.dummyfunction("""COMPUTED_VALUE"""),228439)</f>
        <v>228439</v>
      </c>
      <c r="U115" s="70" t="n">
        <f aca="false">IFERROR(__xludf.dummyfunction("""COMPUTED_VALUE"""),413622)</f>
        <v>413622</v>
      </c>
      <c r="V115" s="70" t="n">
        <f aca="false">IFERROR(__xludf.dummyfunction("""COMPUTED_VALUE"""),72363)</f>
        <v>72363</v>
      </c>
      <c r="W115" s="70" t="n">
        <f aca="false">IFERROR(__xludf.dummyfunction("""COMPUTED_VALUE"""),127040)</f>
        <v>127040</v>
      </c>
      <c r="X115" s="70" t="n">
        <f aca="false">IFERROR(__xludf.dummyfunction("""COMPUTED_VALUE"""),165970)</f>
        <v>165970</v>
      </c>
      <c r="Y115" s="70" t="n">
        <f aca="false">IFERROR(__xludf.dummyfunction("""COMPUTED_VALUE"""),450966)</f>
        <v>450966</v>
      </c>
      <c r="Z115" s="70" t="n">
        <f aca="false">IFERROR(__xludf.dummyfunction("""COMPUTED_VALUE"""),384458)</f>
        <v>384458</v>
      </c>
      <c r="AA115" s="70" t="n">
        <f aca="false">IFERROR(__xludf.dummyfunction("""COMPUTED_VALUE"""),334209)</f>
        <v>334209</v>
      </c>
      <c r="AB115" s="70" t="n">
        <f aca="false">IFERROR(__xludf.dummyfunction("""COMPUTED_VALUE"""),362576)</f>
        <v>362576</v>
      </c>
      <c r="AC115" s="70" t="n">
        <f aca="false">IFERROR(__xludf.dummyfunction("""COMPUTED_VALUE"""),193914)</f>
        <v>193914</v>
      </c>
      <c r="AD115" s="70" t="n">
        <f aca="false">IFERROR(__xludf.dummyfunction("""COMPUTED_VALUE"""),210526)</f>
        <v>210526</v>
      </c>
      <c r="AE115" s="70" t="n">
        <f aca="false">IFERROR(__xludf.dummyfunction("""COMPUTED_VALUE"""),105832)</f>
        <v>105832</v>
      </c>
      <c r="AF115" s="70" t="n">
        <f aca="false">IFERROR(__xludf.dummyfunction("""COMPUTED_VALUE"""),63024)</f>
        <v>63024</v>
      </c>
      <c r="AG115" s="70" t="n">
        <f aca="false">IFERROR(__xludf.dummyfunction("""COMPUTED_VALUE"""),216105)</f>
        <v>216105</v>
      </c>
      <c r="AH115" s="70" t="n">
        <f aca="false">IFERROR(__xludf.dummyfunction("""COMPUTED_VALUE"""),313687)</f>
        <v>313687</v>
      </c>
      <c r="AI115" s="70" t="n">
        <f aca="false">IFERROR(__xludf.dummyfunction("""COMPUTED_VALUE"""),599266)</f>
        <v>599266</v>
      </c>
      <c r="AJ115" s="70" t="n">
        <f aca="false">IFERROR(__xludf.dummyfunction("""COMPUTED_VALUE"""),699284)</f>
        <v>699284</v>
      </c>
      <c r="AK115" s="70" t="n">
        <f aca="false">IFERROR(__xludf.dummyfunction("""COMPUTED_VALUE"""),270806)</f>
        <v>270806</v>
      </c>
      <c r="AL115" s="70" t="n">
        <f aca="false">IFERROR(__xludf.dummyfunction("""COMPUTED_VALUE"""),1047650)</f>
        <v>1047650</v>
      </c>
      <c r="AM115" s="70" t="n">
        <f aca="false">IFERROR(__xludf.dummyfunction("""COMPUTED_VALUE"""),341161)</f>
        <v>341161</v>
      </c>
      <c r="AN115" s="70" t="n">
        <f aca="false">IFERROR(__xludf.dummyfunction("""COMPUTED_VALUE"""),192604)</f>
        <v>192604</v>
      </c>
      <c r="AO115" s="70" t="n">
        <f aca="false">IFERROR(__xludf.dummyfunction("""COMPUTED_VALUE"""),812204)</f>
        <v>812204</v>
      </c>
      <c r="AP115" s="70" t="n">
        <f aca="false">IFERROR(__xludf.dummyfunction("""COMPUTED_VALUE"""),32139)</f>
        <v>32139</v>
      </c>
      <c r="AQ115" s="70" t="n">
        <f aca="false">IFERROR(__xludf.dummyfunction("""COMPUTED_VALUE"""),347859)</f>
        <v>347859</v>
      </c>
      <c r="AR115" s="70" t="n">
        <f aca="false">IFERROR(__xludf.dummyfunction("""COMPUTED_VALUE"""),110911)</f>
        <v>110911</v>
      </c>
      <c r="AS115" s="70" t="n">
        <f aca="false">IFERROR(__xludf.dummyfunction("""COMPUTED_VALUE"""),288782)</f>
        <v>288782</v>
      </c>
      <c r="AT115" s="70" t="n">
        <f aca="false">IFERROR(__xludf.dummyfunction("""COMPUTED_VALUE"""),1799438)</f>
        <v>1799438</v>
      </c>
      <c r="AU115" s="70" t="n">
        <f aca="false">IFERROR(__xludf.dummyfunction("""COMPUTED_VALUE"""),131021)</f>
        <v>131021</v>
      </c>
      <c r="AV115" s="70" t="n">
        <f aca="false">IFERROR(__xludf.dummyfunction("""COMPUTED_VALUE"""),12837)</f>
        <v>12837</v>
      </c>
      <c r="AW115" s="70" t="n">
        <f aca="false">IFERROR(__xludf.dummyfunction("""COMPUTED_VALUE"""),290591)</f>
        <v>290591</v>
      </c>
      <c r="AX115" s="70" t="n">
        <f aca="false">IFERROR(__xludf.dummyfunction("""COMPUTED_VALUE"""),365059)</f>
        <v>365059</v>
      </c>
      <c r="AY115" s="70" t="n">
        <f aca="false">IFERROR(__xludf.dummyfunction("""COMPUTED_VALUE"""),471621)</f>
        <v>471621</v>
      </c>
      <c r="AZ115" s="70" t="n">
        <f aca="false">IFERROR(__xludf.dummyfunction("""COMPUTED_VALUE"""),510040)</f>
        <v>510040</v>
      </c>
      <c r="BA115" s="70" t="n">
        <f aca="false">IFERROR(__xludf.dummyfunction("""COMPUTED_VALUE"""),43958)</f>
        <v>43958</v>
      </c>
    </row>
    <row r="116" customFormat="false" ht="15.75" hidden="false" customHeight="false" outlineLevel="0" collapsed="false">
      <c r="A116" s="78" t="str">
        <f aca="false">IFERROR(__xludf.dummyfunction("""COMPUTED_VALUE"""),"date")</f>
        <v>date</v>
      </c>
      <c r="B116" s="72" t="n">
        <f aca="false">IFERROR(__xludf.dummyfunction("""COMPUTED_VALUE"""),20126424)</f>
        <v>20126424</v>
      </c>
      <c r="C116" s="82" t="n">
        <f aca="false">IFERROR(__xludf.dummyfunction("""COMPUTED_VALUE"""),470653)</f>
        <v>470653</v>
      </c>
      <c r="D116" s="83" t="n">
        <f aca="false">IFERROR(__xludf.dummyfunction("""COMPUTED_VALUE"""),54363)</f>
        <v>54363</v>
      </c>
      <c r="E116" s="84" t="n">
        <f aca="false">IFERROR(__xludf.dummyfunction("""COMPUTED_VALUE"""),479195)</f>
        <v>479195</v>
      </c>
      <c r="F116" s="84" t="n">
        <f aca="false">IFERROR(__xludf.dummyfunction("""COMPUTED_VALUE"""),536179)</f>
        <v>536179</v>
      </c>
      <c r="G116" s="84" t="n">
        <f aca="false">IFERROR(__xludf.dummyfunction("""COMPUTED_VALUE"""),1257990)</f>
        <v>1257990</v>
      </c>
      <c r="H116" s="84" t="n">
        <f aca="false">IFERROR(__xludf.dummyfunction("""COMPUTED_VALUE"""),319635)</f>
        <v>319635</v>
      </c>
      <c r="I116" s="84" t="n">
        <f aca="false">IFERROR(__xludf.dummyfunction("""COMPUTED_VALUE"""),62600)</f>
        <v>62600</v>
      </c>
      <c r="J116" s="84" t="n">
        <f aca="false">IFERROR(__xludf.dummyfunction("""COMPUTED_VALUE"""),28072)</f>
        <v>28072</v>
      </c>
      <c r="K116" s="84" t="n">
        <f aca="false">IFERROR(__xludf.dummyfunction("""COMPUTED_VALUE"""),22272)</f>
        <v>22272</v>
      </c>
      <c r="L116" s="84" t="n">
        <f aca="false">IFERROR(__xludf.dummyfunction("""COMPUTED_VALUE"""),1479309)</f>
        <v>1479309</v>
      </c>
      <c r="M116" s="84" t="n">
        <f aca="false">IFERROR(__xludf.dummyfunction("""COMPUTED_VALUE"""),386283)</f>
        <v>386283</v>
      </c>
      <c r="N116" s="84" t="n">
        <f aca="false">IFERROR(__xludf.dummyfunction("""COMPUTED_VALUE"""),79040)</f>
        <v>79040</v>
      </c>
      <c r="O116" s="84" t="n">
        <f aca="false">IFERROR(__xludf.dummyfunction("""COMPUTED_VALUE"""),100055)</f>
        <v>100055</v>
      </c>
      <c r="P116" s="84" t="n">
        <f aca="false">IFERROR(__xludf.dummyfunction("""COMPUTED_VALUE"""),773540)</f>
        <v>773540</v>
      </c>
      <c r="Q116" s="84" t="n">
        <f aca="false">IFERROR(__xludf.dummyfunction("""COMPUTED_VALUE"""),515173)</f>
        <v>515173</v>
      </c>
      <c r="R116" s="84" t="n">
        <f aca="false">IFERROR(__xludf.dummyfunction("""COMPUTED_VALUE"""),528135)</f>
        <v>528135</v>
      </c>
      <c r="S116" s="84" t="n">
        <f aca="false">IFERROR(__xludf.dummyfunction("""COMPUTED_VALUE"""),376095)</f>
        <v>376095</v>
      </c>
      <c r="T116" s="84" t="n">
        <f aca="false">IFERROR(__xludf.dummyfunction("""COMPUTED_VALUE"""),239891)</f>
        <v>239891</v>
      </c>
      <c r="U116" s="84" t="n">
        <f aca="false">IFERROR(__xludf.dummyfunction("""COMPUTED_VALUE"""),423223)</f>
        <v>423223</v>
      </c>
      <c r="V116" s="84" t="n">
        <f aca="false">IFERROR(__xludf.dummyfunction("""COMPUTED_VALUE"""),73278)</f>
        <v>73278</v>
      </c>
      <c r="W116" s="84" t="n">
        <f aca="false">IFERROR(__xludf.dummyfunction("""COMPUTED_VALUE"""),148683)</f>
        <v>148683</v>
      </c>
      <c r="X116" s="84" t="n">
        <f aca="false">IFERROR(__xludf.dummyfunction("""COMPUTED_VALUE"""),180007)</f>
        <v>180007</v>
      </c>
      <c r="Y116" s="84" t="n">
        <f aca="false">IFERROR(__xludf.dummyfunction("""COMPUTED_VALUE"""),478973)</f>
        <v>478973</v>
      </c>
      <c r="Z116" s="84" t="n">
        <f aca="false">IFERROR(__xludf.dummyfunction("""COMPUTED_VALUE"""),410376)</f>
        <v>410376</v>
      </c>
      <c r="AA116" s="84" t="n">
        <f aca="false">IFERROR(__xludf.dummyfunction("""COMPUTED_VALUE"""),335084)</f>
        <v>335084</v>
      </c>
      <c r="AB116" s="84" t="n">
        <f aca="false">IFERROR(__xludf.dummyfunction("""COMPUTED_VALUE"""),371428)</f>
        <v>371428</v>
      </c>
      <c r="AC116" s="84" t="n">
        <f aca="false">IFERROR(__xludf.dummyfunction("""COMPUTED_VALUE"""),196718)</f>
        <v>196718</v>
      </c>
      <c r="AD116" s="84" t="n">
        <f aca="false">IFERROR(__xludf.dummyfunction("""COMPUTED_VALUE"""),227280)</f>
        <v>227280</v>
      </c>
      <c r="AE116" s="84" t="n">
        <f aca="false">IFERROR(__xludf.dummyfunction("""COMPUTED_VALUE"""),118918)</f>
        <v>118918</v>
      </c>
      <c r="AF116" s="84" t="n">
        <f aca="false">IFERROR(__xludf.dummyfunction("""COMPUTED_VALUE"""),65100)</f>
        <v>65100</v>
      </c>
      <c r="AG116" s="84" t="n">
        <f aca="false">IFERROR(__xludf.dummyfunction("""COMPUTED_VALUE"""),259940)</f>
        <v>259940</v>
      </c>
      <c r="AH116" s="84" t="n">
        <f aca="false">IFERROR(__xludf.dummyfunction("""COMPUTED_VALUE"""),316427)</f>
        <v>316427</v>
      </c>
      <c r="AI116" s="84" t="n">
        <f aca="false">IFERROR(__xludf.dummyfunction("""COMPUTED_VALUE"""),678844)</f>
        <v>678844</v>
      </c>
      <c r="AJ116" s="84" t="n">
        <f aca="false">IFERROR(__xludf.dummyfunction("""COMPUTED_VALUE"""),733374)</f>
        <v>733374</v>
      </c>
      <c r="AK116" s="84" t="n">
        <f aca="false">IFERROR(__xludf.dummyfunction("""COMPUTED_VALUE"""),274228)</f>
        <v>274228</v>
      </c>
      <c r="AL116" s="84" t="n">
        <f aca="false">IFERROR(__xludf.dummyfunction("""COMPUTED_VALUE"""),1096772)</f>
        <v>1096772</v>
      </c>
      <c r="AM116" s="84" t="n">
        <f aca="false">IFERROR(__xludf.dummyfunction("""COMPUTED_VALUE"""),357628)</f>
        <v>357628</v>
      </c>
      <c r="AN116" s="84" t="n">
        <f aca="false">IFERROR(__xludf.dummyfunction("""COMPUTED_VALUE"""),216304)</f>
        <v>216304</v>
      </c>
      <c r="AO116" s="84" t="n">
        <f aca="false">IFERROR(__xludf.dummyfunction("""COMPUTED_VALUE"""),853091)</f>
        <v>853091</v>
      </c>
      <c r="AP116" s="84" t="n">
        <f aca="false">IFERROR(__xludf.dummyfunction("""COMPUTED_VALUE"""),33074)</f>
        <v>33074</v>
      </c>
      <c r="AQ116" s="84" t="n">
        <f aca="false">IFERROR(__xludf.dummyfunction("""COMPUTED_VALUE"""),372648)</f>
        <v>372648</v>
      </c>
      <c r="AR116" s="84" t="n">
        <f aca="false">IFERROR(__xludf.dummyfunction("""COMPUTED_VALUE"""),112595)</f>
        <v>112595</v>
      </c>
      <c r="AS116" s="84" t="n">
        <f aca="false">IFERROR(__xludf.dummyfunction("""COMPUTED_VALUE"""),308508)</f>
        <v>308508</v>
      </c>
      <c r="AT116" s="84" t="n">
        <f aca="false">IFERROR(__xludf.dummyfunction("""COMPUTED_VALUE"""),1844036)</f>
        <v>1844036</v>
      </c>
      <c r="AU116" s="84" t="n">
        <f aca="false">IFERROR(__xludf.dummyfunction("""COMPUTED_VALUE"""),136718)</f>
        <v>136718</v>
      </c>
      <c r="AV116" s="84" t="n">
        <f aca="false">IFERROR(__xludf.dummyfunction("""COMPUTED_VALUE"""),13293)</f>
        <v>13293</v>
      </c>
      <c r="AW116" s="84" t="n">
        <f aca="false">IFERROR(__xludf.dummyfunction("""COMPUTED_VALUE"""),326473)</f>
        <v>326473</v>
      </c>
      <c r="AX116" s="84" t="n">
        <f aca="false">IFERROR(__xludf.dummyfunction("""COMPUTED_VALUE"""),407030)</f>
        <v>407030</v>
      </c>
      <c r="AY116" s="84" t="n">
        <f aca="false">IFERROR(__xludf.dummyfunction("""COMPUTED_VALUE"""),472949)</f>
        <v>472949</v>
      </c>
      <c r="AZ116" s="84" t="n">
        <f aca="false">IFERROR(__xludf.dummyfunction("""COMPUTED_VALUE"""),530198)</f>
        <v>530198</v>
      </c>
      <c r="BA116" s="84" t="n">
        <f aca="false">IFERROR(__xludf.dummyfunction("""COMPUTED_VALUE"""),44746)</f>
        <v>44746</v>
      </c>
    </row>
    <row r="117" customFormat="false" ht="15.75" hidden="false" customHeight="false" outlineLevel="0" collapsed="false">
      <c r="B117" s="59"/>
      <c r="C117" s="79"/>
      <c r="D117" s="80"/>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row>
    <row r="118" customFormat="false" ht="15.75" hidden="false" customHeight="false" outlineLevel="0" collapsed="false">
      <c r="A118" s="74" t="s">
        <v>1819</v>
      </c>
      <c r="B118" s="63"/>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row>
    <row r="119" customFormat="false" ht="15.75" hidden="false" customHeight="false" outlineLevel="0" collapsed="false">
      <c r="A119" s="75" t="str">
        <f aca="false">IFERROR(__xludf.dummyfunction("TRANSPOSE(IMPORTRANGE(""https://docs.google.com/spreadsheets/d/1GKhz9pSyUWFf4Xrp7ACbjr4UA3dMq6VxKG1OCLWM9yA"", ""'Owners'!F4:O56""))"),"name")</f>
        <v>name</v>
      </c>
      <c r="B119" s="56" t="n">
        <f aca="false">IFERROR(__xludf.dummyfunction("""COMPUTED_VALUE"""),36532344)</f>
        <v>36532344</v>
      </c>
      <c r="C119" s="76" t="n">
        <f aca="false">IFERROR(__xludf.dummyfunction("""COMPUTED_VALUE"""),820528)</f>
        <v>820528</v>
      </c>
      <c r="D119" s="77" t="n">
        <f aca="false">IFERROR(__xludf.dummyfunction("""COMPUTED_VALUE"""),169708)</f>
        <v>169708</v>
      </c>
      <c r="E119" s="77" t="n">
        <f aca="false">IFERROR(__xludf.dummyfunction("""COMPUTED_VALUE"""),861365)</f>
        <v>861365</v>
      </c>
      <c r="F119" s="77" t="n">
        <f aca="false">IFERROR(__xludf.dummyfunction("""COMPUTED_VALUE"""),978869)</f>
        <v>978869</v>
      </c>
      <c r="G119" s="77" t="n">
        <f aca="false">IFERROR(__xludf.dummyfunction("""COMPUTED_VALUE"""),2296629)</f>
        <v>2296629</v>
      </c>
      <c r="H119" s="77" t="n">
        <f aca="false">IFERROR(__xludf.dummyfunction("""COMPUTED_VALUE"""),634441)</f>
        <v>634441</v>
      </c>
      <c r="I119" s="77" t="n">
        <f aca="false">IFERROR(__xludf.dummyfunction("""COMPUTED_VALUE"""),182373)</f>
        <v>182373</v>
      </c>
      <c r="J119" s="77" t="n">
        <f aca="false">IFERROR(__xludf.dummyfunction("""COMPUTED_VALUE"""),78220)</f>
        <v>78220</v>
      </c>
      <c r="K119" s="77" t="n">
        <f aca="false">IFERROR(__xludf.dummyfunction("""COMPUTED_VALUE"""),37804)</f>
        <v>37804</v>
      </c>
      <c r="L119" s="77" t="n">
        <f aca="false">IFERROR(__xludf.dummyfunction("""COMPUTED_VALUE"""),2201328)</f>
        <v>2201328</v>
      </c>
      <c r="M119" s="77" t="n">
        <f aca="false">IFERROR(__xludf.dummyfunction("""COMPUTED_VALUE"""),653963)</f>
        <v>653963</v>
      </c>
      <c r="N119" s="77" t="n">
        <f aca="false">IFERROR(__xludf.dummyfunction("""COMPUTED_VALUE"""),118111)</f>
        <v>118111</v>
      </c>
      <c r="O119" s="77" t="n">
        <f aca="false">IFERROR(__xludf.dummyfunction("""COMPUTED_VALUE"""),240732)</f>
        <v>240732</v>
      </c>
      <c r="P119" s="77" t="n">
        <f aca="false">IFERROR(__xludf.dummyfunction("""COMPUTED_VALUE"""),1360773)</f>
        <v>1360773</v>
      </c>
      <c r="Q119" s="77" t="n">
        <f aca="false">IFERROR(__xludf.dummyfunction("""COMPUTED_VALUE"""),974062)</f>
        <v>974062</v>
      </c>
      <c r="R119" s="77" t="n">
        <f aca="false">IFERROR(__xludf.dummyfunction("""COMPUTED_VALUE"""),1056907)</f>
        <v>1056907</v>
      </c>
      <c r="S119" s="77" t="n">
        <f aca="false">IFERROR(__xludf.dummyfunction("""COMPUTED_VALUE"""),550509)</f>
        <v>550509</v>
      </c>
      <c r="T119" s="77" t="n">
        <f aca="false">IFERROR(__xludf.dummyfunction("""COMPUTED_VALUE"""),389101)</f>
        <v>389101</v>
      </c>
      <c r="U119" s="77" t="n">
        <f aca="false">IFERROR(__xludf.dummyfunction("""COMPUTED_VALUE"""),737500)</f>
        <v>737500</v>
      </c>
      <c r="V119" s="77" t="n">
        <f aca="false">IFERROR(__xludf.dummyfunction("""COMPUTED_VALUE"""),132818)</f>
        <v>132818</v>
      </c>
      <c r="W119" s="77" t="n">
        <f aca="false">IFERROR(__xludf.dummyfunction("""COMPUTED_VALUE"""),276301)</f>
        <v>276301</v>
      </c>
      <c r="X119" s="77" t="n">
        <f aca="false">IFERROR(__xludf.dummyfunction("""COMPUTED_VALUE"""),380951)</f>
        <v>380951</v>
      </c>
      <c r="Y119" s="77" t="n">
        <f aca="false">IFERROR(__xludf.dummyfunction("""COMPUTED_VALUE"""),899471)</f>
        <v>899471</v>
      </c>
      <c r="Z119" s="77" t="n">
        <f aca="false">IFERROR(__xludf.dummyfunction("""COMPUTED_VALUE"""),863585)</f>
        <v>863585</v>
      </c>
      <c r="AA119" s="77" t="n">
        <f aca="false">IFERROR(__xludf.dummyfunction("""COMPUTED_VALUE"""),556922)</f>
        <v>556922</v>
      </c>
      <c r="AB119" s="77" t="n">
        <f aca="false">IFERROR(__xludf.dummyfunction("""COMPUTED_VALUE"""),702040)</f>
        <v>702040</v>
      </c>
      <c r="AC119" s="77" t="n">
        <f aca="false">IFERROR(__xludf.dummyfunction("""COMPUTED_VALUE"""),441538)</f>
        <v>441538</v>
      </c>
      <c r="AD119" s="77" t="n">
        <f aca="false">IFERROR(__xludf.dummyfunction("""COMPUTED_VALUE"""),411284)</f>
        <v>411284</v>
      </c>
      <c r="AE119" s="77" t="n">
        <f aca="false">IFERROR(__xludf.dummyfunction("""COMPUTED_VALUE"""),228992)</f>
        <v>228992</v>
      </c>
      <c r="AF119" s="77" t="n">
        <f aca="false">IFERROR(__xludf.dummyfunction("""COMPUTED_VALUE"""),128028)</f>
        <v>128028</v>
      </c>
      <c r="AG119" s="77" t="n">
        <f aca="false">IFERROR(__xludf.dummyfunction("""COMPUTED_VALUE"""),514147)</f>
        <v>514147</v>
      </c>
      <c r="AH119" s="77" t="n">
        <f aca="false">IFERROR(__xludf.dummyfunction("""COMPUTED_VALUE"""),612518)</f>
        <v>612518</v>
      </c>
      <c r="AI119" s="77" t="n">
        <f aca="false">IFERROR(__xludf.dummyfunction("""COMPUTED_VALUE"""),1255836)</f>
        <v>1255836</v>
      </c>
      <c r="AJ119" s="77" t="n">
        <f aca="false">IFERROR(__xludf.dummyfunction("""COMPUTED_VALUE"""),1155147)</f>
        <v>1155147</v>
      </c>
      <c r="AK119" s="77" t="n">
        <f aca="false">IFERROR(__xludf.dummyfunction("""COMPUTED_VALUE"""),459410)</f>
        <v>459410</v>
      </c>
      <c r="AL119" s="77" t="n">
        <f aca="false">IFERROR(__xludf.dummyfunction("""COMPUTED_VALUE"""),1812189)</f>
        <v>1812189</v>
      </c>
      <c r="AM119" s="77" t="n">
        <f aca="false">IFERROR(__xludf.dummyfunction("""COMPUTED_VALUE"""),601584)</f>
        <v>601584</v>
      </c>
      <c r="AN119" s="77" t="n">
        <f aca="false">IFERROR(__xludf.dummyfunction("""COMPUTED_VALUE"""),488765)</f>
        <v>488765</v>
      </c>
      <c r="AO119" s="77" t="n">
        <f aca="false">IFERROR(__xludf.dummyfunction("""COMPUTED_VALUE"""),1252732)</f>
        <v>1252732</v>
      </c>
      <c r="AP119" s="77" t="n">
        <f aca="false">IFERROR(__xludf.dummyfunction("""COMPUTED_VALUE"""),79675)</f>
        <v>79675</v>
      </c>
      <c r="AQ119" s="77" t="n">
        <f aca="false">IFERROR(__xludf.dummyfunction("""COMPUTED_VALUE"""),627942)</f>
        <v>627942</v>
      </c>
      <c r="AR119" s="77" t="n">
        <f aca="false">IFERROR(__xludf.dummyfunction("""COMPUTED_VALUE"""),357649)</f>
        <v>357649</v>
      </c>
      <c r="AS119" s="77" t="n">
        <f aca="false">IFERROR(__xludf.dummyfunction("""COMPUTED_VALUE"""),483126)</f>
        <v>483126</v>
      </c>
      <c r="AT119" s="77" t="n">
        <f aca="false">IFERROR(__xludf.dummyfunction("""COMPUTED_VALUE"""),3870026)</f>
        <v>3870026</v>
      </c>
      <c r="AU119" s="77" t="n">
        <f aca="false">IFERROR(__xludf.dummyfunction("""COMPUTED_VALUE"""),357608)</f>
        <v>357608</v>
      </c>
      <c r="AV119" s="77" t="n">
        <f aca="false">IFERROR(__xludf.dummyfunction("""COMPUTED_VALUE"""),34709)</f>
        <v>34709</v>
      </c>
      <c r="AW119" s="77" t="n">
        <f aca="false">IFERROR(__xludf.dummyfunction("""COMPUTED_VALUE"""),607461)</f>
        <v>607461</v>
      </c>
      <c r="AX119" s="77" t="n">
        <f aca="false">IFERROR(__xludf.dummyfunction("""COMPUTED_VALUE"""),703009)</f>
        <v>703009</v>
      </c>
      <c r="AY119" s="77" t="n">
        <f aca="false">IFERROR(__xludf.dummyfunction("""COMPUTED_VALUE"""),668239)</f>
        <v>668239</v>
      </c>
      <c r="AZ119" s="77" t="n">
        <f aca="false">IFERROR(__xludf.dummyfunction("""COMPUTED_VALUE"""),1124598)</f>
        <v>1124598</v>
      </c>
      <c r="BA119" s="77" t="n">
        <f aca="false">IFERROR(__xludf.dummyfunction("""COMPUTED_VALUE"""),101121)</f>
        <v>101121</v>
      </c>
    </row>
    <row r="120" customFormat="false" ht="15.75" hidden="false" customHeight="false" outlineLevel="0" collapsed="false">
      <c r="A120" s="78" t="str">
        <f aca="false">IFERROR(__xludf.dummyfunction("""COMPUTED_VALUE"""),"second_name")</f>
        <v>second_name</v>
      </c>
      <c r="B120" s="72" t="n">
        <f aca="false">IFERROR(__xludf.dummyfunction("""COMPUTED_VALUE"""),0)</f>
        <v>0</v>
      </c>
      <c r="C120" s="73" t="n">
        <f aca="false">IFERROR(__xludf.dummyfunction("""COMPUTED_VALUE"""),0)</f>
        <v>0</v>
      </c>
      <c r="D120" s="70" t="n">
        <f aca="false">IFERROR(__xludf.dummyfunction("""COMPUTED_VALUE"""),0)</f>
        <v>0</v>
      </c>
      <c r="E120" s="70" t="n">
        <f aca="false">IFERROR(__xludf.dummyfunction("""COMPUTED_VALUE"""),0)</f>
        <v>0</v>
      </c>
      <c r="F120" s="70" t="n">
        <f aca="false">IFERROR(__xludf.dummyfunction("""COMPUTED_VALUE"""),0)</f>
        <v>0</v>
      </c>
      <c r="G120" s="70" t="n">
        <f aca="false">IFERROR(__xludf.dummyfunction("""COMPUTED_VALUE"""),0)</f>
        <v>0</v>
      </c>
      <c r="H120" s="70" t="n">
        <f aca="false">IFERROR(__xludf.dummyfunction("""COMPUTED_VALUE"""),0)</f>
        <v>0</v>
      </c>
      <c r="I120" s="70" t="n">
        <f aca="false">IFERROR(__xludf.dummyfunction("""COMPUTED_VALUE"""),0)</f>
        <v>0</v>
      </c>
      <c r="J120" s="70" t="n">
        <f aca="false">IFERROR(__xludf.dummyfunction("""COMPUTED_VALUE"""),0)</f>
        <v>0</v>
      </c>
      <c r="K120" s="70" t="n">
        <f aca="false">IFERROR(__xludf.dummyfunction("""COMPUTED_VALUE"""),0)</f>
        <v>0</v>
      </c>
      <c r="L120" s="70" t="n">
        <f aca="false">IFERROR(__xludf.dummyfunction("""COMPUTED_VALUE"""),0)</f>
        <v>0</v>
      </c>
      <c r="M120" s="70" t="n">
        <f aca="false">IFERROR(__xludf.dummyfunction("""COMPUTED_VALUE"""),0)</f>
        <v>0</v>
      </c>
      <c r="N120" s="70" t="n">
        <f aca="false">IFERROR(__xludf.dummyfunction("""COMPUTED_VALUE"""),0)</f>
        <v>0</v>
      </c>
      <c r="O120" s="70" t="n">
        <f aca="false">IFERROR(__xludf.dummyfunction("""COMPUTED_VALUE"""),0)</f>
        <v>0</v>
      </c>
      <c r="P120" s="70" t="n">
        <f aca="false">IFERROR(__xludf.dummyfunction("""COMPUTED_VALUE"""),0)</f>
        <v>0</v>
      </c>
      <c r="Q120" s="70" t="n">
        <f aca="false">IFERROR(__xludf.dummyfunction("""COMPUTED_VALUE"""),0)</f>
        <v>0</v>
      </c>
      <c r="R120" s="70" t="n">
        <f aca="false">IFERROR(__xludf.dummyfunction("""COMPUTED_VALUE"""),0)</f>
        <v>0</v>
      </c>
      <c r="S120" s="70" t="n">
        <f aca="false">IFERROR(__xludf.dummyfunction("""COMPUTED_VALUE"""),0)</f>
        <v>0</v>
      </c>
      <c r="T120" s="70" t="n">
        <f aca="false">IFERROR(__xludf.dummyfunction("""COMPUTED_VALUE"""),0)</f>
        <v>0</v>
      </c>
      <c r="U120" s="70" t="n">
        <f aca="false">IFERROR(__xludf.dummyfunction("""COMPUTED_VALUE"""),0)</f>
        <v>0</v>
      </c>
      <c r="V120" s="70" t="n">
        <f aca="false">IFERROR(__xludf.dummyfunction("""COMPUTED_VALUE"""),0)</f>
        <v>0</v>
      </c>
      <c r="W120" s="70" t="n">
        <f aca="false">IFERROR(__xludf.dummyfunction("""COMPUTED_VALUE"""),0)</f>
        <v>0</v>
      </c>
      <c r="X120" s="70" t="n">
        <f aca="false">IFERROR(__xludf.dummyfunction("""COMPUTED_VALUE"""),0)</f>
        <v>0</v>
      </c>
      <c r="Y120" s="70" t="n">
        <f aca="false">IFERROR(__xludf.dummyfunction("""COMPUTED_VALUE"""),0)</f>
        <v>0</v>
      </c>
      <c r="Z120" s="70" t="n">
        <f aca="false">IFERROR(__xludf.dummyfunction("""COMPUTED_VALUE"""),0)</f>
        <v>0</v>
      </c>
      <c r="AA120" s="70" t="n">
        <f aca="false">IFERROR(__xludf.dummyfunction("""COMPUTED_VALUE"""),0)</f>
        <v>0</v>
      </c>
      <c r="AB120" s="70" t="n">
        <f aca="false">IFERROR(__xludf.dummyfunction("""COMPUTED_VALUE"""),0)</f>
        <v>0</v>
      </c>
      <c r="AC120" s="70" t="n">
        <f aca="false">IFERROR(__xludf.dummyfunction("""COMPUTED_VALUE"""),0)</f>
        <v>0</v>
      </c>
      <c r="AD120" s="70" t="n">
        <f aca="false">IFERROR(__xludf.dummyfunction("""COMPUTED_VALUE"""),0)</f>
        <v>0</v>
      </c>
      <c r="AE120" s="70" t="n">
        <f aca="false">IFERROR(__xludf.dummyfunction("""COMPUTED_VALUE"""),0)</f>
        <v>0</v>
      </c>
      <c r="AF120" s="70" t="n">
        <f aca="false">IFERROR(__xludf.dummyfunction("""COMPUTED_VALUE"""),0)</f>
        <v>0</v>
      </c>
      <c r="AG120" s="70" t="n">
        <f aca="false">IFERROR(__xludf.dummyfunction("""COMPUTED_VALUE"""),0)</f>
        <v>0</v>
      </c>
      <c r="AH120" s="70" t="n">
        <f aca="false">IFERROR(__xludf.dummyfunction("""COMPUTED_VALUE"""),0)</f>
        <v>0</v>
      </c>
      <c r="AI120" s="70" t="n">
        <f aca="false">IFERROR(__xludf.dummyfunction("""COMPUTED_VALUE"""),0)</f>
        <v>0</v>
      </c>
      <c r="AJ120" s="70" t="n">
        <f aca="false">IFERROR(__xludf.dummyfunction("""COMPUTED_VALUE"""),0)</f>
        <v>0</v>
      </c>
      <c r="AK120" s="70" t="n">
        <f aca="false">IFERROR(__xludf.dummyfunction("""COMPUTED_VALUE"""),0)</f>
        <v>0</v>
      </c>
      <c r="AL120" s="70" t="n">
        <f aca="false">IFERROR(__xludf.dummyfunction("""COMPUTED_VALUE"""),0)</f>
        <v>0</v>
      </c>
      <c r="AM120" s="70" t="n">
        <f aca="false">IFERROR(__xludf.dummyfunction("""COMPUTED_VALUE"""),0)</f>
        <v>0</v>
      </c>
      <c r="AN120" s="70" t="n">
        <f aca="false">IFERROR(__xludf.dummyfunction("""COMPUTED_VALUE"""),0)</f>
        <v>0</v>
      </c>
      <c r="AO120" s="70" t="n">
        <f aca="false">IFERROR(__xludf.dummyfunction("""COMPUTED_VALUE"""),0)</f>
        <v>0</v>
      </c>
      <c r="AP120" s="70" t="n">
        <f aca="false">IFERROR(__xludf.dummyfunction("""COMPUTED_VALUE"""),0)</f>
        <v>0</v>
      </c>
      <c r="AQ120" s="70" t="n">
        <f aca="false">IFERROR(__xludf.dummyfunction("""COMPUTED_VALUE"""),0)</f>
        <v>0</v>
      </c>
      <c r="AR120" s="70" t="n">
        <f aca="false">IFERROR(__xludf.dummyfunction("""COMPUTED_VALUE"""),0)</f>
        <v>0</v>
      </c>
      <c r="AS120" s="70" t="n">
        <f aca="false">IFERROR(__xludf.dummyfunction("""COMPUTED_VALUE"""),0)</f>
        <v>0</v>
      </c>
      <c r="AT120" s="70" t="n">
        <f aca="false">IFERROR(__xludf.dummyfunction("""COMPUTED_VALUE"""),0)</f>
        <v>0</v>
      </c>
      <c r="AU120" s="70" t="n">
        <f aca="false">IFERROR(__xludf.dummyfunction("""COMPUTED_VALUE"""),0)</f>
        <v>0</v>
      </c>
      <c r="AV120" s="70" t="n">
        <f aca="false">IFERROR(__xludf.dummyfunction("""COMPUTED_VALUE"""),0)</f>
        <v>0</v>
      </c>
      <c r="AW120" s="70" t="n">
        <f aca="false">IFERROR(__xludf.dummyfunction("""COMPUTED_VALUE"""),0)</f>
        <v>0</v>
      </c>
      <c r="AX120" s="70" t="n">
        <f aca="false">IFERROR(__xludf.dummyfunction("""COMPUTED_VALUE"""),0)</f>
        <v>0</v>
      </c>
      <c r="AY120" s="70" t="n">
        <f aca="false">IFERROR(__xludf.dummyfunction("""COMPUTED_VALUE"""),0)</f>
        <v>0</v>
      </c>
      <c r="AZ120" s="70" t="n">
        <f aca="false">IFERROR(__xludf.dummyfunction("""COMPUTED_VALUE"""),0)</f>
        <v>0</v>
      </c>
      <c r="BA120" s="70" t="n">
        <f aca="false">IFERROR(__xludf.dummyfunction("""COMPUTED_VALUE"""),0)</f>
        <v>0</v>
      </c>
    </row>
    <row r="121" customFormat="false" ht="15.75" hidden="false" customHeight="false" outlineLevel="0" collapsed="false">
      <c r="A121" s="78" t="str">
        <f aca="false">IFERROR(__xludf.dummyfunction("""COMPUTED_VALUE"""),"unit_type")</f>
        <v>unit_type</v>
      </c>
      <c r="B121" s="72" t="n">
        <f aca="false">IFERROR(__xludf.dummyfunction("""COMPUTED_VALUE"""),3546610)</f>
        <v>3546610</v>
      </c>
      <c r="C121" s="73" t="n">
        <f aca="false">IFERROR(__xludf.dummyfunction("""COMPUTED_VALUE"""),37287)</f>
        <v>37287</v>
      </c>
      <c r="D121" s="70" t="n">
        <f aca="false">IFERROR(__xludf.dummyfunction("""COMPUTED_VALUE"""),16464)</f>
        <v>16464</v>
      </c>
      <c r="E121" s="70" t="n">
        <f aca="false">IFERROR(__xludf.dummyfunction("""COMPUTED_VALUE"""),218452)</f>
        <v>218452</v>
      </c>
      <c r="F121" s="70" t="n">
        <f aca="false">IFERROR(__xludf.dummyfunction("""COMPUTED_VALUE"""),50754)</f>
        <v>50754</v>
      </c>
      <c r="G121" s="70" t="n">
        <f aca="false">IFERROR(__xludf.dummyfunction("""COMPUTED_VALUE"""),409846)</f>
        <v>409846</v>
      </c>
      <c r="H121" s="70" t="n">
        <f aca="false">IFERROR(__xludf.dummyfunction("""COMPUTED_VALUE"""),114621)</f>
        <v>114621</v>
      </c>
      <c r="I121" s="70" t="n">
        <f aca="false">IFERROR(__xludf.dummyfunction("""COMPUTED_VALUE"""),13933)</f>
        <v>13933</v>
      </c>
      <c r="J121" s="70" t="n">
        <f aca="false">IFERROR(__xludf.dummyfunction("""COMPUTED_VALUE"""),12303)</f>
        <v>12303</v>
      </c>
      <c r="K121" s="70" t="n">
        <f aca="false">IFERROR(__xludf.dummyfunction("""COMPUTED_VALUE"""),14710)</f>
        <v>14710</v>
      </c>
      <c r="L121" s="70" t="n">
        <f aca="false">IFERROR(__xludf.dummyfunction("""COMPUTED_VALUE"""),375486)</f>
        <v>375486</v>
      </c>
      <c r="M121" s="70" t="n">
        <f aca="false">IFERROR(__xludf.dummyfunction("""COMPUTED_VALUE"""),63776)</f>
        <v>63776</v>
      </c>
      <c r="N121" s="70" t="n">
        <f aca="false">IFERROR(__xludf.dummyfunction("""COMPUTED_VALUE"""),20216)</f>
        <v>20216</v>
      </c>
      <c r="O121" s="70" t="n">
        <f aca="false">IFERROR(__xludf.dummyfunction("""COMPUTED_VALUE"""),18035)</f>
        <v>18035</v>
      </c>
      <c r="P121" s="70" t="n">
        <f aca="false">IFERROR(__xludf.dummyfunction("""COMPUTED_VALUE"""),108506)</f>
        <v>108506</v>
      </c>
      <c r="Q121" s="70" t="n">
        <f aca="false">IFERROR(__xludf.dummyfunction("""COMPUTED_VALUE"""),62459)</f>
        <v>62459</v>
      </c>
      <c r="R121" s="70" t="n">
        <f aca="false">IFERROR(__xludf.dummyfunction("""COMPUTED_VALUE"""),46477)</f>
        <v>46477</v>
      </c>
      <c r="S121" s="70" t="n">
        <f aca="false">IFERROR(__xludf.dummyfunction("""COMPUTED_VALUE"""),27704)</f>
        <v>27704</v>
      </c>
      <c r="T121" s="70" t="n">
        <f aca="false">IFERROR(__xludf.dummyfunction("""COMPUTED_VALUE"""),18766)</f>
        <v>18766</v>
      </c>
      <c r="U121" s="70" t="n">
        <f aca="false">IFERROR(__xludf.dummyfunction("""COMPUTED_VALUE"""),40945)</f>
        <v>40945</v>
      </c>
      <c r="V121" s="70" t="n">
        <f aca="false">IFERROR(__xludf.dummyfunction("""COMPUTED_VALUE"""),7149)</f>
        <v>7149</v>
      </c>
      <c r="W121" s="70" t="n">
        <f aca="false">IFERROR(__xludf.dummyfunction("""COMPUTED_VALUE"""),41058)</f>
        <v>41058</v>
      </c>
      <c r="X121" s="70" t="n">
        <f aca="false">IFERROR(__xludf.dummyfunction("""COMPUTED_VALUE"""),35806)</f>
        <v>35806</v>
      </c>
      <c r="Y121" s="70" t="n">
        <f aca="false">IFERROR(__xludf.dummyfunction("""COMPUTED_VALUE"""),75739)</f>
        <v>75739</v>
      </c>
      <c r="Z121" s="70" t="n">
        <f aca="false">IFERROR(__xludf.dummyfunction("""COMPUTED_VALUE"""),69488)</f>
        <v>69488</v>
      </c>
      <c r="AA121" s="70" t="n">
        <f aca="false">IFERROR(__xludf.dummyfunction("""COMPUTED_VALUE"""),22674)</f>
        <v>22674</v>
      </c>
      <c r="AB121" s="70" t="n">
        <f aca="false">IFERROR(__xludf.dummyfunction("""COMPUTED_VALUE"""),45971)</f>
        <v>45971</v>
      </c>
      <c r="AC121" s="70" t="n">
        <f aca="false">IFERROR(__xludf.dummyfunction("""COMPUTED_VALUE"""),15235)</f>
        <v>15235</v>
      </c>
      <c r="AD121" s="70" t="n">
        <f aca="false">IFERROR(__xludf.dummyfunction("""COMPUTED_VALUE"""),19302)</f>
        <v>19302</v>
      </c>
      <c r="AE121" s="70" t="n">
        <f aca="false">IFERROR(__xludf.dummyfunction("""COMPUTED_VALUE"""),47131)</f>
        <v>47131</v>
      </c>
      <c r="AF121" s="70" t="n">
        <f aca="false">IFERROR(__xludf.dummyfunction("""COMPUTED_VALUE"""),8516)</f>
        <v>8516</v>
      </c>
      <c r="AG121" s="70" t="n">
        <f aca="false">IFERROR(__xludf.dummyfunction("""COMPUTED_VALUE"""),49547)</f>
        <v>49547</v>
      </c>
      <c r="AH121" s="70" t="n">
        <f aca="false">IFERROR(__xludf.dummyfunction("""COMPUTED_VALUE"""),77976)</f>
        <v>77976</v>
      </c>
      <c r="AI121" s="70" t="n">
        <f aca="false">IFERROR(__xludf.dummyfunction("""COMPUTED_VALUE"""),146968)</f>
        <v>146968</v>
      </c>
      <c r="AJ121" s="70" t="n">
        <f aca="false">IFERROR(__xludf.dummyfunction("""COMPUTED_VALUE"""),86130)</f>
        <v>86130</v>
      </c>
      <c r="AK121" s="70" t="n">
        <f aca="false">IFERROR(__xludf.dummyfunction("""COMPUTED_VALUE"""),24497)</f>
        <v>24497</v>
      </c>
      <c r="AL121" s="70" t="n">
        <f aca="false">IFERROR(__xludf.dummyfunction("""COMPUTED_VALUE"""),116345)</f>
        <v>116345</v>
      </c>
      <c r="AM121" s="70" t="n">
        <f aca="false">IFERROR(__xludf.dummyfunction("""COMPUTED_VALUE"""),35077)</f>
        <v>35077</v>
      </c>
      <c r="AN121" s="70" t="n">
        <f aca="false">IFERROR(__xludf.dummyfunction("""COMPUTED_VALUE"""),58612)</f>
        <v>58612</v>
      </c>
      <c r="AO121" s="70" t="n">
        <f aca="false">IFERROR(__xludf.dummyfunction("""COMPUTED_VALUE"""),89240)</f>
        <v>89240</v>
      </c>
      <c r="AP121" s="70" t="n">
        <f aca="false">IFERROR(__xludf.dummyfunction("""COMPUTED_VALUE"""),3368)</f>
        <v>3368</v>
      </c>
      <c r="AQ121" s="70" t="n">
        <f aca="false">IFERROR(__xludf.dummyfunction("""COMPUTED_VALUE"""),46062)</f>
        <v>46062</v>
      </c>
      <c r="AR121" s="70" t="n">
        <f aca="false">IFERROR(__xludf.dummyfunction("""COMPUTED_VALUE"""),11981)</f>
        <v>11981</v>
      </c>
      <c r="AS121" s="70" t="n">
        <f aca="false">IFERROR(__xludf.dummyfunction("""COMPUTED_VALUE"""),38001)</f>
        <v>38001</v>
      </c>
      <c r="AT121" s="70" t="n">
        <f aca="false">IFERROR(__xludf.dummyfunction("""COMPUTED_VALUE"""),443299)</f>
        <v>443299</v>
      </c>
      <c r="AU121" s="70" t="n">
        <f aca="false">IFERROR(__xludf.dummyfunction("""COMPUTED_VALUE"""),39756)</f>
        <v>39756</v>
      </c>
      <c r="AV121" s="70" t="n">
        <f aca="false">IFERROR(__xludf.dummyfunction("""COMPUTED_VALUE"""),2319)</f>
        <v>2319</v>
      </c>
      <c r="AW121" s="70" t="n">
        <f aca="false">IFERROR(__xludf.dummyfunction("""COMPUTED_VALUE"""),59823)</f>
        <v>59823</v>
      </c>
      <c r="AX121" s="70" t="n">
        <f aca="false">IFERROR(__xludf.dummyfunction("""COMPUTED_VALUE"""),79238)</f>
        <v>79238</v>
      </c>
      <c r="AY121" s="70" t="n">
        <f aca="false">IFERROR(__xludf.dummyfunction("""COMPUTED_VALUE"""),23651)</f>
        <v>23651</v>
      </c>
      <c r="AZ121" s="70" t="n">
        <f aca="false">IFERROR(__xludf.dummyfunction("""COMPUTED_VALUE"""),49134)</f>
        <v>49134</v>
      </c>
      <c r="BA121" s="70" t="n">
        <f aca="false">IFERROR(__xludf.dummyfunction("""COMPUTED_VALUE"""),6777)</f>
        <v>6777</v>
      </c>
    </row>
    <row r="122" customFormat="false" ht="15.75" hidden="false" customHeight="false" outlineLevel="0" collapsed="false">
      <c r="A122" s="78" t="str">
        <f aca="false">IFERROR(__xludf.dummyfunction("""COMPUTED_VALUE"""),"unit_number")</f>
        <v>unit_number</v>
      </c>
      <c r="B122" s="72" t="n">
        <f aca="false">IFERROR(__xludf.dummyfunction("""COMPUTED_VALUE"""),3544746)</f>
        <v>3544746</v>
      </c>
      <c r="C122" s="73" t="n">
        <f aca="false">IFERROR(__xludf.dummyfunction("""COMPUTED_VALUE"""),37275)</f>
        <v>37275</v>
      </c>
      <c r="D122" s="70" t="n">
        <f aca="false">IFERROR(__xludf.dummyfunction("""COMPUTED_VALUE"""),16463)</f>
        <v>16463</v>
      </c>
      <c r="E122" s="70" t="n">
        <f aca="false">IFERROR(__xludf.dummyfunction("""COMPUTED_VALUE"""),218434)</f>
        <v>218434</v>
      </c>
      <c r="F122" s="70" t="n">
        <f aca="false">IFERROR(__xludf.dummyfunction("""COMPUTED_VALUE"""),50735)</f>
        <v>50735</v>
      </c>
      <c r="G122" s="70" t="n">
        <f aca="false">IFERROR(__xludf.dummyfunction("""COMPUTED_VALUE"""),409547)</f>
        <v>409547</v>
      </c>
      <c r="H122" s="70" t="n">
        <f aca="false">IFERROR(__xludf.dummyfunction("""COMPUTED_VALUE"""),114590)</f>
        <v>114590</v>
      </c>
      <c r="I122" s="70" t="n">
        <f aca="false">IFERROR(__xludf.dummyfunction("""COMPUTED_VALUE"""),13923)</f>
        <v>13923</v>
      </c>
      <c r="J122" s="70" t="n">
        <f aca="false">IFERROR(__xludf.dummyfunction("""COMPUTED_VALUE"""),12302)</f>
        <v>12302</v>
      </c>
      <c r="K122" s="70" t="n">
        <f aca="false">IFERROR(__xludf.dummyfunction("""COMPUTED_VALUE"""),14710)</f>
        <v>14710</v>
      </c>
      <c r="L122" s="70" t="n">
        <f aca="false">IFERROR(__xludf.dummyfunction("""COMPUTED_VALUE"""),375343)</f>
        <v>375343</v>
      </c>
      <c r="M122" s="70" t="n">
        <f aca="false">IFERROR(__xludf.dummyfunction("""COMPUTED_VALUE"""),63751)</f>
        <v>63751</v>
      </c>
      <c r="N122" s="70" t="n">
        <f aca="false">IFERROR(__xludf.dummyfunction("""COMPUTED_VALUE"""),20216)</f>
        <v>20216</v>
      </c>
      <c r="O122" s="70" t="n">
        <f aca="false">IFERROR(__xludf.dummyfunction("""COMPUTED_VALUE"""),18028)</f>
        <v>18028</v>
      </c>
      <c r="P122" s="70" t="n">
        <f aca="false">IFERROR(__xludf.dummyfunction("""COMPUTED_VALUE"""),108453)</f>
        <v>108453</v>
      </c>
      <c r="Q122" s="70" t="n">
        <f aca="false">IFERROR(__xludf.dummyfunction("""COMPUTED_VALUE"""),62449)</f>
        <v>62449</v>
      </c>
      <c r="R122" s="70" t="n">
        <f aca="false">IFERROR(__xludf.dummyfunction("""COMPUTED_VALUE"""),46472)</f>
        <v>46472</v>
      </c>
      <c r="S122" s="70" t="n">
        <f aca="false">IFERROR(__xludf.dummyfunction("""COMPUTED_VALUE"""),27695)</f>
        <v>27695</v>
      </c>
      <c r="T122" s="70" t="n">
        <f aca="false">IFERROR(__xludf.dummyfunction("""COMPUTED_VALUE"""),18748)</f>
        <v>18748</v>
      </c>
      <c r="U122" s="70" t="n">
        <f aca="false">IFERROR(__xludf.dummyfunction("""COMPUTED_VALUE"""),40933)</f>
        <v>40933</v>
      </c>
      <c r="V122" s="70" t="n">
        <f aca="false">IFERROR(__xludf.dummyfunction("""COMPUTED_VALUE"""),7149)</f>
        <v>7149</v>
      </c>
      <c r="W122" s="70" t="n">
        <f aca="false">IFERROR(__xludf.dummyfunction("""COMPUTED_VALUE"""),41017)</f>
        <v>41017</v>
      </c>
      <c r="X122" s="70" t="n">
        <f aca="false">IFERROR(__xludf.dummyfunction("""COMPUTED_VALUE"""),35728)</f>
        <v>35728</v>
      </c>
      <c r="Y122" s="70" t="n">
        <f aca="false">IFERROR(__xludf.dummyfunction("""COMPUTED_VALUE"""),75699)</f>
        <v>75699</v>
      </c>
      <c r="Z122" s="70" t="n">
        <f aca="false">IFERROR(__xludf.dummyfunction("""COMPUTED_VALUE"""),69479)</f>
        <v>69479</v>
      </c>
      <c r="AA122" s="70" t="n">
        <f aca="false">IFERROR(__xludf.dummyfunction("""COMPUTED_VALUE"""),22667)</f>
        <v>22667</v>
      </c>
      <c r="AB122" s="70" t="n">
        <f aca="false">IFERROR(__xludf.dummyfunction("""COMPUTED_VALUE"""),45951)</f>
        <v>45951</v>
      </c>
      <c r="AC122" s="70" t="n">
        <f aca="false">IFERROR(__xludf.dummyfunction("""COMPUTED_VALUE"""),15234)</f>
        <v>15234</v>
      </c>
      <c r="AD122" s="70" t="n">
        <f aca="false">IFERROR(__xludf.dummyfunction("""COMPUTED_VALUE"""),19297)</f>
        <v>19297</v>
      </c>
      <c r="AE122" s="70" t="n">
        <f aca="false">IFERROR(__xludf.dummyfunction("""COMPUTED_VALUE"""),47129)</f>
        <v>47129</v>
      </c>
      <c r="AF122" s="70" t="n">
        <f aca="false">IFERROR(__xludf.dummyfunction("""COMPUTED_VALUE"""),8515)</f>
        <v>8515</v>
      </c>
      <c r="AG122" s="70" t="n">
        <f aca="false">IFERROR(__xludf.dummyfunction("""COMPUTED_VALUE"""),49485)</f>
        <v>49485</v>
      </c>
      <c r="AH122" s="70" t="n">
        <f aca="false">IFERROR(__xludf.dummyfunction("""COMPUTED_VALUE"""),77957)</f>
        <v>77957</v>
      </c>
      <c r="AI122" s="70" t="n">
        <f aca="false">IFERROR(__xludf.dummyfunction("""COMPUTED_VALUE"""),146770)</f>
        <v>146770</v>
      </c>
      <c r="AJ122" s="70" t="n">
        <f aca="false">IFERROR(__xludf.dummyfunction("""COMPUTED_VALUE"""),86030)</f>
        <v>86030</v>
      </c>
      <c r="AK122" s="70" t="n">
        <f aca="false">IFERROR(__xludf.dummyfunction("""COMPUTED_VALUE"""),24487)</f>
        <v>24487</v>
      </c>
      <c r="AL122" s="70" t="n">
        <f aca="false">IFERROR(__xludf.dummyfunction("""COMPUTED_VALUE"""),116237)</f>
        <v>116237</v>
      </c>
      <c r="AM122" s="70" t="n">
        <f aca="false">IFERROR(__xludf.dummyfunction("""COMPUTED_VALUE"""),35058)</f>
        <v>35058</v>
      </c>
      <c r="AN122" s="70" t="n">
        <f aca="false">IFERROR(__xludf.dummyfunction("""COMPUTED_VALUE"""),58596)</f>
        <v>58596</v>
      </c>
      <c r="AO122" s="70" t="n">
        <f aca="false">IFERROR(__xludf.dummyfunction("""COMPUTED_VALUE"""),89141)</f>
        <v>89141</v>
      </c>
      <c r="AP122" s="70" t="n">
        <f aca="false">IFERROR(__xludf.dummyfunction("""COMPUTED_VALUE"""),3365)</f>
        <v>3365</v>
      </c>
      <c r="AQ122" s="70" t="n">
        <f aca="false">IFERROR(__xludf.dummyfunction("""COMPUTED_VALUE"""),46053)</f>
        <v>46053</v>
      </c>
      <c r="AR122" s="70" t="n">
        <f aca="false">IFERROR(__xludf.dummyfunction("""COMPUTED_VALUE"""),11977)</f>
        <v>11977</v>
      </c>
      <c r="AS122" s="70" t="n">
        <f aca="false">IFERROR(__xludf.dummyfunction("""COMPUTED_VALUE"""),37991)</f>
        <v>37991</v>
      </c>
      <c r="AT122" s="70" t="n">
        <f aca="false">IFERROR(__xludf.dummyfunction("""COMPUTED_VALUE"""),443147)</f>
        <v>443147</v>
      </c>
      <c r="AU122" s="70" t="n">
        <f aca="false">IFERROR(__xludf.dummyfunction("""COMPUTED_VALUE"""),39695)</f>
        <v>39695</v>
      </c>
      <c r="AV122" s="70" t="n">
        <f aca="false">IFERROR(__xludf.dummyfunction("""COMPUTED_VALUE"""),2319)</f>
        <v>2319</v>
      </c>
      <c r="AW122" s="70" t="n">
        <f aca="false">IFERROR(__xludf.dummyfunction("""COMPUTED_VALUE"""),59792)</f>
        <v>59792</v>
      </c>
      <c r="AX122" s="70" t="n">
        <f aca="false">IFERROR(__xludf.dummyfunction("""COMPUTED_VALUE"""),79226)</f>
        <v>79226</v>
      </c>
      <c r="AY122" s="70" t="n">
        <f aca="false">IFERROR(__xludf.dummyfunction("""COMPUTED_VALUE"""),23642)</f>
        <v>23642</v>
      </c>
      <c r="AZ122" s="70" t="n">
        <f aca="false">IFERROR(__xludf.dummyfunction("""COMPUTED_VALUE"""),49072)</f>
        <v>49072</v>
      </c>
      <c r="BA122" s="70" t="n">
        <f aca="false">IFERROR(__xludf.dummyfunction("""COMPUTED_VALUE"""),6774)</f>
        <v>6774</v>
      </c>
    </row>
    <row r="123" customFormat="false" ht="15.75" hidden="false" customHeight="false" outlineLevel="0" collapsed="false">
      <c r="A123" s="78" t="str">
        <f aca="false">IFERROR(__xludf.dummyfunction("""COMPUTED_VALUE"""),"formatted_street_address")</f>
        <v>formatted_street_address</v>
      </c>
      <c r="B123" s="72" t="n">
        <f aca="false">IFERROR(__xludf.dummyfunction("""COMPUTED_VALUE"""),35525755)</f>
        <v>35525755</v>
      </c>
      <c r="C123" s="82" t="n">
        <f aca="false">IFERROR(__xludf.dummyfunction("""COMPUTED_VALUE"""),804374)</f>
        <v>804374</v>
      </c>
      <c r="D123" s="83" t="n">
        <f aca="false">IFERROR(__xludf.dummyfunction("""COMPUTED_VALUE"""),105199)</f>
        <v>105199</v>
      </c>
      <c r="E123" s="84" t="n">
        <f aca="false">IFERROR(__xludf.dummyfunction("""COMPUTED_VALUE"""),843398)</f>
        <v>843398</v>
      </c>
      <c r="F123" s="84" t="n">
        <f aca="false">IFERROR(__xludf.dummyfunction("""COMPUTED_VALUE"""),932744)</f>
        <v>932744</v>
      </c>
      <c r="G123" s="84" t="n">
        <f aca="false">IFERROR(__xludf.dummyfunction("""COMPUTED_VALUE"""),2145887)</f>
        <v>2145887</v>
      </c>
      <c r="H123" s="84" t="n">
        <f aca="false">IFERROR(__xludf.dummyfunction("""COMPUTED_VALUE"""),624325)</f>
        <v>624325</v>
      </c>
      <c r="I123" s="84" t="n">
        <f aca="false">IFERROR(__xludf.dummyfunction("""COMPUTED_VALUE"""),182305)</f>
        <v>182305</v>
      </c>
      <c r="J123" s="84" t="n">
        <f aca="false">IFERROR(__xludf.dummyfunction("""COMPUTED_VALUE"""),77555)</f>
        <v>77555</v>
      </c>
      <c r="K123" s="84" t="n">
        <f aca="false">IFERROR(__xludf.dummyfunction("""COMPUTED_VALUE"""),36612)</f>
        <v>36612</v>
      </c>
      <c r="L123" s="84" t="n">
        <f aca="false">IFERROR(__xludf.dummyfunction("""COMPUTED_VALUE"""),2154682)</f>
        <v>2154682</v>
      </c>
      <c r="M123" s="84" t="n">
        <f aca="false">IFERROR(__xludf.dummyfunction("""COMPUTED_VALUE"""),641566)</f>
        <v>641566</v>
      </c>
      <c r="N123" s="84" t="n">
        <f aca="false">IFERROR(__xludf.dummyfunction("""COMPUTED_VALUE"""),109483)</f>
        <v>109483</v>
      </c>
      <c r="O123" s="84" t="n">
        <f aca="false">IFERROR(__xludf.dummyfunction("""COMPUTED_VALUE"""),228573)</f>
        <v>228573</v>
      </c>
      <c r="P123" s="84" t="n">
        <f aca="false">IFERROR(__xludf.dummyfunction("""COMPUTED_VALUE"""),1420869)</f>
        <v>1420869</v>
      </c>
      <c r="Q123" s="84" t="n">
        <f aca="false">IFERROR(__xludf.dummyfunction("""COMPUTED_VALUE"""),959810)</f>
        <v>959810</v>
      </c>
      <c r="R123" s="84" t="n">
        <f aca="false">IFERROR(__xludf.dummyfunction("""COMPUTED_VALUE"""),1039678)</f>
        <v>1039678</v>
      </c>
      <c r="S123" s="84" t="n">
        <f aca="false">IFERROR(__xludf.dummyfunction("""COMPUTED_VALUE"""),548915)</f>
        <v>548915</v>
      </c>
      <c r="T123" s="84" t="n">
        <f aca="false">IFERROR(__xludf.dummyfunction("""COMPUTED_VALUE"""),375778)</f>
        <v>375778</v>
      </c>
      <c r="U123" s="84" t="n">
        <f aca="false">IFERROR(__xludf.dummyfunction("""COMPUTED_VALUE"""),717695)</f>
        <v>717695</v>
      </c>
      <c r="V123" s="84" t="n">
        <f aca="false">IFERROR(__xludf.dummyfunction("""COMPUTED_VALUE"""),132271)</f>
        <v>132271</v>
      </c>
      <c r="W123" s="84" t="n">
        <f aca="false">IFERROR(__xludf.dummyfunction("""COMPUTED_VALUE"""),268112)</f>
        <v>268112</v>
      </c>
      <c r="X123" s="84" t="n">
        <f aca="false">IFERROR(__xludf.dummyfunction("""COMPUTED_VALUE"""),380475)</f>
        <v>380475</v>
      </c>
      <c r="Y123" s="84" t="n">
        <f aca="false">IFERROR(__xludf.dummyfunction("""COMPUTED_VALUE"""),872557)</f>
        <v>872557</v>
      </c>
      <c r="Z123" s="84" t="n">
        <f aca="false">IFERROR(__xludf.dummyfunction("""COMPUTED_VALUE"""),809371)</f>
        <v>809371</v>
      </c>
      <c r="AA123" s="84" t="n">
        <f aca="false">IFERROR(__xludf.dummyfunction("""COMPUTED_VALUE"""),524499)</f>
        <v>524499</v>
      </c>
      <c r="AB123" s="84" t="n">
        <f aca="false">IFERROR(__xludf.dummyfunction("""COMPUTED_VALUE"""),677638)</f>
        <v>677638</v>
      </c>
      <c r="AC123" s="84" t="n">
        <f aca="false">IFERROR(__xludf.dummyfunction("""COMPUTED_VALUE"""),430497)</f>
        <v>430497</v>
      </c>
      <c r="AD123" s="84" t="n">
        <f aca="false">IFERROR(__xludf.dummyfunction("""COMPUTED_VALUE"""),394166)</f>
        <v>394166</v>
      </c>
      <c r="AE123" s="84" t="n">
        <f aca="false">IFERROR(__xludf.dummyfunction("""COMPUTED_VALUE"""),216375)</f>
        <v>216375</v>
      </c>
      <c r="AF123" s="84" t="n">
        <f aca="false">IFERROR(__xludf.dummyfunction("""COMPUTED_VALUE"""),127502)</f>
        <v>127502</v>
      </c>
      <c r="AG123" s="84" t="n">
        <f aca="false">IFERROR(__xludf.dummyfunction("""COMPUTED_VALUE"""),505453)</f>
        <v>505453</v>
      </c>
      <c r="AH123" s="84" t="n">
        <f aca="false">IFERROR(__xludf.dummyfunction("""COMPUTED_VALUE"""),600724)</f>
        <v>600724</v>
      </c>
      <c r="AI123" s="84" t="n">
        <f aca="false">IFERROR(__xludf.dummyfunction("""COMPUTED_VALUE"""),1234742)</f>
        <v>1234742</v>
      </c>
      <c r="AJ123" s="84" t="n">
        <f aca="false">IFERROR(__xludf.dummyfunction("""COMPUTED_VALUE"""),1145431)</f>
        <v>1145431</v>
      </c>
      <c r="AK123" s="84" t="n">
        <f aca="false">IFERROR(__xludf.dummyfunction("""COMPUTED_VALUE"""),443176)</f>
        <v>443176</v>
      </c>
      <c r="AL123" s="84" t="n">
        <f aca="false">IFERROR(__xludf.dummyfunction("""COMPUTED_VALUE"""),1767746)</f>
        <v>1767746</v>
      </c>
      <c r="AM123" s="84" t="n">
        <f aca="false">IFERROR(__xludf.dummyfunction("""COMPUTED_VALUE"""),546213)</f>
        <v>546213</v>
      </c>
      <c r="AN123" s="84" t="n">
        <f aca="false">IFERROR(__xludf.dummyfunction("""COMPUTED_VALUE"""),471958)</f>
        <v>471958</v>
      </c>
      <c r="AO123" s="84" t="n">
        <f aca="false">IFERROR(__xludf.dummyfunction("""COMPUTED_VALUE"""),1232481)</f>
        <v>1232481</v>
      </c>
      <c r="AP123" s="84" t="n">
        <f aca="false">IFERROR(__xludf.dummyfunction("""COMPUTED_VALUE"""),79632)</f>
        <v>79632</v>
      </c>
      <c r="AQ123" s="84" t="n">
        <f aca="false">IFERROR(__xludf.dummyfunction("""COMPUTED_VALUE"""),621371)</f>
        <v>621371</v>
      </c>
      <c r="AR123" s="84" t="n">
        <f aca="false">IFERROR(__xludf.dummyfunction("""COMPUTED_VALUE"""),345410)</f>
        <v>345410</v>
      </c>
      <c r="AS123" s="84" t="n">
        <f aca="false">IFERROR(__xludf.dummyfunction("""COMPUTED_VALUE"""),474031)</f>
        <v>474031</v>
      </c>
      <c r="AT123" s="84" t="n">
        <f aca="false">IFERROR(__xludf.dummyfunction("""COMPUTED_VALUE"""),3801570)</f>
        <v>3801570</v>
      </c>
      <c r="AU123" s="84" t="n">
        <f aca="false">IFERROR(__xludf.dummyfunction("""COMPUTED_VALUE"""),343359)</f>
        <v>343359</v>
      </c>
      <c r="AV123" s="84" t="n">
        <f aca="false">IFERROR(__xludf.dummyfunction("""COMPUTED_VALUE"""),34056)</f>
        <v>34056</v>
      </c>
      <c r="AW123" s="84" t="n">
        <f aca="false">IFERROR(__xludf.dummyfunction("""COMPUTED_VALUE"""),588815)</f>
        <v>588815</v>
      </c>
      <c r="AX123" s="84" t="n">
        <f aca="false">IFERROR(__xludf.dummyfunction("""COMPUTED_VALUE"""),676583)</f>
        <v>676583</v>
      </c>
      <c r="AY123" s="84" t="n">
        <f aca="false">IFERROR(__xludf.dummyfunction("""COMPUTED_VALUE"""),641048)</f>
        <v>641048</v>
      </c>
      <c r="AZ123" s="84" t="n">
        <f aca="false">IFERROR(__xludf.dummyfunction("""COMPUTED_VALUE"""),1097028)</f>
        <v>1097028</v>
      </c>
      <c r="BA123" s="84" t="n">
        <f aca="false">IFERROR(__xludf.dummyfunction("""COMPUTED_VALUE"""),92017)</f>
        <v>92017</v>
      </c>
    </row>
    <row r="124" customFormat="false" ht="15.75" hidden="false" customHeight="false" outlineLevel="0" collapsed="false">
      <c r="A124" s="78" t="str">
        <f aca="false">IFERROR(__xludf.dummyfunction("""COMPUTED_VALUE"""),"city")</f>
        <v>city</v>
      </c>
      <c r="B124" s="72" t="n">
        <f aca="false">IFERROR(__xludf.dummyfunction("""COMPUTED_VALUE"""),35844018)</f>
        <v>35844018</v>
      </c>
      <c r="C124" s="82" t="n">
        <f aca="false">IFERROR(__xludf.dummyfunction("""COMPUTED_VALUE"""),814638)</f>
        <v>814638</v>
      </c>
      <c r="D124" s="83" t="n">
        <f aca="false">IFERROR(__xludf.dummyfunction("""COMPUTED_VALUE"""),105370)</f>
        <v>105370</v>
      </c>
      <c r="E124" s="84" t="n">
        <f aca="false">IFERROR(__xludf.dummyfunction("""COMPUTED_VALUE"""),838316)</f>
        <v>838316</v>
      </c>
      <c r="F124" s="84" t="n">
        <f aca="false">IFERROR(__xludf.dummyfunction("""COMPUTED_VALUE"""),942988)</f>
        <v>942988</v>
      </c>
      <c r="G124" s="84" t="n">
        <f aca="false">IFERROR(__xludf.dummyfunction("""COMPUTED_VALUE"""),2157469)</f>
        <v>2157469</v>
      </c>
      <c r="H124" s="84" t="n">
        <f aca="false">IFERROR(__xludf.dummyfunction("""COMPUTED_VALUE"""),628798)</f>
        <v>628798</v>
      </c>
      <c r="I124" s="84" t="n">
        <f aca="false">IFERROR(__xludf.dummyfunction("""COMPUTED_VALUE"""),182368)</f>
        <v>182368</v>
      </c>
      <c r="J124" s="84" t="n">
        <f aca="false">IFERROR(__xludf.dummyfunction("""COMPUTED_VALUE"""),78095)</f>
        <v>78095</v>
      </c>
      <c r="K124" s="84" t="n">
        <f aca="false">IFERROR(__xludf.dummyfunction("""COMPUTED_VALUE"""),37771)</f>
        <v>37771</v>
      </c>
      <c r="L124" s="84" t="n">
        <f aca="false">IFERROR(__xludf.dummyfunction("""COMPUTED_VALUE"""),2161725)</f>
        <v>2161725</v>
      </c>
      <c r="M124" s="84" t="n">
        <f aca="false">IFERROR(__xludf.dummyfunction("""COMPUTED_VALUE"""),647941)</f>
        <v>647941</v>
      </c>
      <c r="N124" s="84" t="n">
        <f aca="false">IFERROR(__xludf.dummyfunction("""COMPUTED_VALUE"""),109248)</f>
        <v>109248</v>
      </c>
      <c r="O124" s="84" t="n">
        <f aca="false">IFERROR(__xludf.dummyfunction("""COMPUTED_VALUE"""),229902)</f>
        <v>229902</v>
      </c>
      <c r="P124" s="84" t="n">
        <f aca="false">IFERROR(__xludf.dummyfunction("""COMPUTED_VALUE"""),1431276)</f>
        <v>1431276</v>
      </c>
      <c r="Q124" s="84" t="n">
        <f aca="false">IFERROR(__xludf.dummyfunction("""COMPUTED_VALUE"""),972349)</f>
        <v>972349</v>
      </c>
      <c r="R124" s="84" t="n">
        <f aca="false">IFERROR(__xludf.dummyfunction("""COMPUTED_VALUE"""),1044447)</f>
        <v>1044447</v>
      </c>
      <c r="S124" s="84" t="n">
        <f aca="false">IFERROR(__xludf.dummyfunction("""COMPUTED_VALUE"""),549957)</f>
        <v>549957</v>
      </c>
      <c r="T124" s="84" t="n">
        <f aca="false">IFERROR(__xludf.dummyfunction("""COMPUTED_VALUE"""),384488)</f>
        <v>384488</v>
      </c>
      <c r="U124" s="84" t="n">
        <f aca="false">IFERROR(__xludf.dummyfunction("""COMPUTED_VALUE"""),724078)</f>
        <v>724078</v>
      </c>
      <c r="V124" s="84" t="n">
        <f aca="false">IFERROR(__xludf.dummyfunction("""COMPUTED_VALUE"""),132452)</f>
        <v>132452</v>
      </c>
      <c r="W124" s="84" t="n">
        <f aca="false">IFERROR(__xludf.dummyfunction("""COMPUTED_VALUE"""),276049)</f>
        <v>276049</v>
      </c>
      <c r="X124" s="84" t="n">
        <f aca="false">IFERROR(__xludf.dummyfunction("""COMPUTED_VALUE"""),380733)</f>
        <v>380733</v>
      </c>
      <c r="Y124" s="84" t="n">
        <f aca="false">IFERROR(__xludf.dummyfunction("""COMPUTED_VALUE"""),880751)</f>
        <v>880751</v>
      </c>
      <c r="Z124" s="84" t="n">
        <f aca="false">IFERROR(__xludf.dummyfunction("""COMPUTED_VALUE"""),814834)</f>
        <v>814834</v>
      </c>
      <c r="AA124" s="84" t="n">
        <f aca="false">IFERROR(__xludf.dummyfunction("""COMPUTED_VALUE"""),530222)</f>
        <v>530222</v>
      </c>
      <c r="AB124" s="84" t="n">
        <f aca="false">IFERROR(__xludf.dummyfunction("""COMPUTED_VALUE"""),688016)</f>
        <v>688016</v>
      </c>
      <c r="AC124" s="84" t="n">
        <f aca="false">IFERROR(__xludf.dummyfunction("""COMPUTED_VALUE"""),440174)</f>
        <v>440174</v>
      </c>
      <c r="AD124" s="84" t="n">
        <f aca="false">IFERROR(__xludf.dummyfunction("""COMPUTED_VALUE"""),401618)</f>
        <v>401618</v>
      </c>
      <c r="AE124" s="84" t="n">
        <f aca="false">IFERROR(__xludf.dummyfunction("""COMPUTED_VALUE"""),224784)</f>
        <v>224784</v>
      </c>
      <c r="AF124" s="84" t="n">
        <f aca="false">IFERROR(__xludf.dummyfunction("""COMPUTED_VALUE"""),127864)</f>
        <v>127864</v>
      </c>
      <c r="AG124" s="84" t="n">
        <f aca="false">IFERROR(__xludf.dummyfunction("""COMPUTED_VALUE"""),515070)</f>
        <v>515070</v>
      </c>
      <c r="AH124" s="84" t="n">
        <f aca="false">IFERROR(__xludf.dummyfunction("""COMPUTED_VALUE"""),601908)</f>
        <v>601908</v>
      </c>
      <c r="AI124" s="84" t="n">
        <f aca="false">IFERROR(__xludf.dummyfunction("""COMPUTED_VALUE"""),1254123)</f>
        <v>1254123</v>
      </c>
      <c r="AJ124" s="84" t="n">
        <f aca="false">IFERROR(__xludf.dummyfunction("""COMPUTED_VALUE"""),1148688)</f>
        <v>1148688</v>
      </c>
      <c r="AK124" s="84" t="n">
        <f aca="false">IFERROR(__xludf.dummyfunction("""COMPUTED_VALUE"""),448857)</f>
        <v>448857</v>
      </c>
      <c r="AL124" s="84" t="n">
        <f aca="false">IFERROR(__xludf.dummyfunction("""COMPUTED_VALUE"""),1793381)</f>
        <v>1793381</v>
      </c>
      <c r="AM124" s="84" t="n">
        <f aca="false">IFERROR(__xludf.dummyfunction("""COMPUTED_VALUE"""),556635)</f>
        <v>556635</v>
      </c>
      <c r="AN124" s="84" t="n">
        <f aca="false">IFERROR(__xludf.dummyfunction("""COMPUTED_VALUE"""),477186)</f>
        <v>477186</v>
      </c>
      <c r="AO124" s="84" t="n">
        <f aca="false">IFERROR(__xludf.dummyfunction("""COMPUTED_VALUE"""),1246996)</f>
        <v>1246996</v>
      </c>
      <c r="AP124" s="84" t="n">
        <f aca="false">IFERROR(__xludf.dummyfunction("""COMPUTED_VALUE"""),79652)</f>
        <v>79652</v>
      </c>
      <c r="AQ124" s="84" t="n">
        <f aca="false">IFERROR(__xludf.dummyfunction("""COMPUTED_VALUE"""),625972)</f>
        <v>625972</v>
      </c>
      <c r="AR124" s="84" t="n">
        <f aca="false">IFERROR(__xludf.dummyfunction("""COMPUTED_VALUE"""),348398)</f>
        <v>348398</v>
      </c>
      <c r="AS124" s="84" t="n">
        <f aca="false">IFERROR(__xludf.dummyfunction("""COMPUTED_VALUE"""),481863)</f>
        <v>481863</v>
      </c>
      <c r="AT124" s="84" t="n">
        <f aca="false">IFERROR(__xludf.dummyfunction("""COMPUTED_VALUE"""),3819159)</f>
        <v>3819159</v>
      </c>
      <c r="AU124" s="84" t="n">
        <f aca="false">IFERROR(__xludf.dummyfunction("""COMPUTED_VALUE"""),350060)</f>
        <v>350060</v>
      </c>
      <c r="AV124" s="84" t="n">
        <f aca="false">IFERROR(__xludf.dummyfunction("""COMPUTED_VALUE"""),34481)</f>
        <v>34481</v>
      </c>
      <c r="AW124" s="84" t="n">
        <f aca="false">IFERROR(__xludf.dummyfunction("""COMPUTED_VALUE"""),595048)</f>
        <v>595048</v>
      </c>
      <c r="AX124" s="84" t="n">
        <f aca="false">IFERROR(__xludf.dummyfunction("""COMPUTED_VALUE"""),681015)</f>
        <v>681015</v>
      </c>
      <c r="AY124" s="84" t="n">
        <f aca="false">IFERROR(__xludf.dummyfunction("""COMPUTED_VALUE"""),651154)</f>
        <v>651154</v>
      </c>
      <c r="AZ124" s="84" t="n">
        <f aca="false">IFERROR(__xludf.dummyfunction("""COMPUTED_VALUE"""),1103091)</f>
        <v>1103091</v>
      </c>
      <c r="BA124" s="84" t="n">
        <f aca="false">IFERROR(__xludf.dummyfunction("""COMPUTED_VALUE"""),92560)</f>
        <v>92560</v>
      </c>
    </row>
    <row r="125" customFormat="false" ht="15.75" hidden="false" customHeight="false" outlineLevel="0" collapsed="false">
      <c r="A125" s="78" t="str">
        <f aca="false">IFERROR(__xludf.dummyfunction("""COMPUTED_VALUE"""),"state")</f>
        <v>state</v>
      </c>
      <c r="B125" s="72" t="n">
        <f aca="false">IFERROR(__xludf.dummyfunction("""COMPUTED_VALUE"""),35962136)</f>
        <v>35962136</v>
      </c>
      <c r="C125" s="82" t="n">
        <f aca="false">IFERROR(__xludf.dummyfunction("""COMPUTED_VALUE"""),815378)</f>
        <v>815378</v>
      </c>
      <c r="D125" s="83" t="n">
        <f aca="false">IFERROR(__xludf.dummyfunction("""COMPUTED_VALUE"""),105708)</f>
        <v>105708</v>
      </c>
      <c r="E125" s="84" t="n">
        <f aca="false">IFERROR(__xludf.dummyfunction("""COMPUTED_VALUE"""),839542)</f>
        <v>839542</v>
      </c>
      <c r="F125" s="84" t="n">
        <f aca="false">IFERROR(__xludf.dummyfunction("""COMPUTED_VALUE"""),947041)</f>
        <v>947041</v>
      </c>
      <c r="G125" s="84" t="n">
        <f aca="false">IFERROR(__xludf.dummyfunction("""COMPUTED_VALUE"""),2168483)</f>
        <v>2168483</v>
      </c>
      <c r="H125" s="84" t="n">
        <f aca="false">IFERROR(__xludf.dummyfunction("""COMPUTED_VALUE"""),629451)</f>
        <v>629451</v>
      </c>
      <c r="I125" s="84" t="n">
        <f aca="false">IFERROR(__xludf.dummyfunction("""COMPUTED_VALUE"""),182369)</f>
        <v>182369</v>
      </c>
      <c r="J125" s="84" t="n">
        <f aca="false">IFERROR(__xludf.dummyfunction("""COMPUTED_VALUE"""),78095)</f>
        <v>78095</v>
      </c>
      <c r="K125" s="84" t="n">
        <f aca="false">IFERROR(__xludf.dummyfunction("""COMPUTED_VALUE"""),37771)</f>
        <v>37771</v>
      </c>
      <c r="L125" s="84" t="n">
        <f aca="false">IFERROR(__xludf.dummyfunction("""COMPUTED_VALUE"""),2162225)</f>
        <v>2162225</v>
      </c>
      <c r="M125" s="84" t="n">
        <f aca="false">IFERROR(__xludf.dummyfunction("""COMPUTED_VALUE"""),650174)</f>
        <v>650174</v>
      </c>
      <c r="N125" s="84" t="n">
        <f aca="false">IFERROR(__xludf.dummyfunction("""COMPUTED_VALUE"""),112202)</f>
        <v>112202</v>
      </c>
      <c r="O125" s="84" t="n">
        <f aca="false">IFERROR(__xludf.dummyfunction("""COMPUTED_VALUE"""),230417)</f>
        <v>230417</v>
      </c>
      <c r="P125" s="84" t="n">
        <f aca="false">IFERROR(__xludf.dummyfunction("""COMPUTED_VALUE"""),1431768)</f>
        <v>1431768</v>
      </c>
      <c r="Q125" s="84" t="n">
        <f aca="false">IFERROR(__xludf.dummyfunction("""COMPUTED_VALUE"""),972427)</f>
        <v>972427</v>
      </c>
      <c r="R125" s="84" t="n">
        <f aca="false">IFERROR(__xludf.dummyfunction("""COMPUTED_VALUE"""),1044617)</f>
        <v>1044617</v>
      </c>
      <c r="S125" s="84" t="n">
        <f aca="false">IFERROR(__xludf.dummyfunction("""COMPUTED_VALUE"""),550029)</f>
        <v>550029</v>
      </c>
      <c r="T125" s="84" t="n">
        <f aca="false">IFERROR(__xludf.dummyfunction("""COMPUTED_VALUE"""),385744)</f>
        <v>385744</v>
      </c>
      <c r="U125" s="84" t="n">
        <f aca="false">IFERROR(__xludf.dummyfunction("""COMPUTED_VALUE"""),727236)</f>
        <v>727236</v>
      </c>
      <c r="V125" s="84" t="n">
        <f aca="false">IFERROR(__xludf.dummyfunction("""COMPUTED_VALUE"""),132553)</f>
        <v>132553</v>
      </c>
      <c r="W125" s="84" t="n">
        <f aca="false">IFERROR(__xludf.dummyfunction("""COMPUTED_VALUE"""),276066)</f>
        <v>276066</v>
      </c>
      <c r="X125" s="84" t="n">
        <f aca="false">IFERROR(__xludf.dummyfunction("""COMPUTED_VALUE"""),380735)</f>
        <v>380735</v>
      </c>
      <c r="Y125" s="84" t="n">
        <f aca="false">IFERROR(__xludf.dummyfunction("""COMPUTED_VALUE"""),882644)</f>
        <v>882644</v>
      </c>
      <c r="Z125" s="84" t="n">
        <f aca="false">IFERROR(__xludf.dummyfunction("""COMPUTED_VALUE"""),814987)</f>
        <v>814987</v>
      </c>
      <c r="AA125" s="84" t="n">
        <f aca="false">IFERROR(__xludf.dummyfunction("""COMPUTED_VALUE"""),533377)</f>
        <v>533377</v>
      </c>
      <c r="AB125" s="84" t="n">
        <f aca="false">IFERROR(__xludf.dummyfunction("""COMPUTED_VALUE"""),691347)</f>
        <v>691347</v>
      </c>
      <c r="AC125" s="84" t="n">
        <f aca="false">IFERROR(__xludf.dummyfunction("""COMPUTED_VALUE"""),440178)</f>
        <v>440178</v>
      </c>
      <c r="AD125" s="84" t="n">
        <f aca="false">IFERROR(__xludf.dummyfunction("""COMPUTED_VALUE"""),402972)</f>
        <v>402972</v>
      </c>
      <c r="AE125" s="84" t="n">
        <f aca="false">IFERROR(__xludf.dummyfunction("""COMPUTED_VALUE"""),224901)</f>
        <v>224901</v>
      </c>
      <c r="AF125" s="84" t="n">
        <f aca="false">IFERROR(__xludf.dummyfunction("""COMPUTED_VALUE"""),127864)</f>
        <v>127864</v>
      </c>
      <c r="AG125" s="84" t="n">
        <f aca="false">IFERROR(__xludf.dummyfunction("""COMPUTED_VALUE"""),515771)</f>
        <v>515771</v>
      </c>
      <c r="AH125" s="84" t="n">
        <f aca="false">IFERROR(__xludf.dummyfunction("""COMPUTED_VALUE"""),602788)</f>
        <v>602788</v>
      </c>
      <c r="AI125" s="84" t="n">
        <f aca="false">IFERROR(__xludf.dummyfunction("""COMPUTED_VALUE"""),1254463)</f>
        <v>1254463</v>
      </c>
      <c r="AJ125" s="84" t="n">
        <f aca="false">IFERROR(__xludf.dummyfunction("""COMPUTED_VALUE"""),1150852)</f>
        <v>1150852</v>
      </c>
      <c r="AK125" s="84" t="n">
        <f aca="false">IFERROR(__xludf.dummyfunction("""COMPUTED_VALUE"""),448971)</f>
        <v>448971</v>
      </c>
      <c r="AL125" s="84" t="n">
        <f aca="false">IFERROR(__xludf.dummyfunction("""COMPUTED_VALUE"""),1803499)</f>
        <v>1803499</v>
      </c>
      <c r="AM125" s="84" t="n">
        <f aca="false">IFERROR(__xludf.dummyfunction("""COMPUTED_VALUE"""),581582)</f>
        <v>581582</v>
      </c>
      <c r="AN125" s="84" t="n">
        <f aca="false">IFERROR(__xludf.dummyfunction("""COMPUTED_VALUE"""),479901)</f>
        <v>479901</v>
      </c>
      <c r="AO125" s="84" t="n">
        <f aca="false">IFERROR(__xludf.dummyfunction("""COMPUTED_VALUE"""),1248448)</f>
        <v>1248448</v>
      </c>
      <c r="AP125" s="84" t="n">
        <f aca="false">IFERROR(__xludf.dummyfunction("""COMPUTED_VALUE"""),79652)</f>
        <v>79652</v>
      </c>
      <c r="AQ125" s="84" t="n">
        <f aca="false">IFERROR(__xludf.dummyfunction("""COMPUTED_VALUE"""),626103)</f>
        <v>626103</v>
      </c>
      <c r="AR125" s="84" t="n">
        <f aca="false">IFERROR(__xludf.dummyfunction("""COMPUTED_VALUE"""),348578)</f>
        <v>348578</v>
      </c>
      <c r="AS125" s="84" t="n">
        <f aca="false">IFERROR(__xludf.dummyfunction("""COMPUTED_VALUE"""),482581)</f>
        <v>482581</v>
      </c>
      <c r="AT125" s="84" t="n">
        <f aca="false">IFERROR(__xludf.dummyfunction("""COMPUTED_VALUE"""),3828524)</f>
        <v>3828524</v>
      </c>
      <c r="AU125" s="84" t="n">
        <f aca="false">IFERROR(__xludf.dummyfunction("""COMPUTED_VALUE"""),350251)</f>
        <v>350251</v>
      </c>
      <c r="AV125" s="84" t="n">
        <f aca="false">IFERROR(__xludf.dummyfunction("""COMPUTED_VALUE"""),34491)</f>
        <v>34491</v>
      </c>
      <c r="AW125" s="84" t="n">
        <f aca="false">IFERROR(__xludf.dummyfunction("""COMPUTED_VALUE"""),596033)</f>
        <v>596033</v>
      </c>
      <c r="AX125" s="84" t="n">
        <f aca="false">IFERROR(__xludf.dummyfunction("""COMPUTED_VALUE"""),692520)</f>
        <v>692520</v>
      </c>
      <c r="AY125" s="84" t="n">
        <f aca="false">IFERROR(__xludf.dummyfunction("""COMPUTED_VALUE"""),657249)</f>
        <v>657249</v>
      </c>
      <c r="AZ125" s="84" t="n">
        <f aca="false">IFERROR(__xludf.dummyfunction("""COMPUTED_VALUE"""),1108978)</f>
        <v>1108978</v>
      </c>
      <c r="BA125" s="84" t="n">
        <f aca="false">IFERROR(__xludf.dummyfunction("""COMPUTED_VALUE"""),92600)</f>
        <v>92600</v>
      </c>
    </row>
    <row r="126" customFormat="false" ht="15.75" hidden="false" customHeight="false" outlineLevel="0" collapsed="false">
      <c r="A126" s="78" t="str">
        <f aca="false">IFERROR(__xludf.dummyfunction("""COMPUTED_VALUE"""),"zip_code")</f>
        <v>zip_code</v>
      </c>
      <c r="B126" s="72" t="n">
        <f aca="false">IFERROR(__xludf.dummyfunction("""COMPUTED_VALUE"""),35794037)</f>
        <v>35794037</v>
      </c>
      <c r="C126" s="82" t="n">
        <f aca="false">IFERROR(__xludf.dummyfunction("""COMPUTED_VALUE"""),814720)</f>
        <v>814720</v>
      </c>
      <c r="D126" s="83" t="n">
        <f aca="false">IFERROR(__xludf.dummyfunction("""COMPUTED_VALUE"""),105391)</f>
        <v>105391</v>
      </c>
      <c r="E126" s="84" t="n">
        <f aca="false">IFERROR(__xludf.dummyfunction("""COMPUTED_VALUE"""),841578)</f>
        <v>841578</v>
      </c>
      <c r="F126" s="84" t="n">
        <f aca="false">IFERROR(__xludf.dummyfunction("""COMPUTED_VALUE"""),942487)</f>
        <v>942487</v>
      </c>
      <c r="G126" s="84" t="n">
        <f aca="false">IFERROR(__xludf.dummyfunction("""COMPUTED_VALUE"""),2153559)</f>
        <v>2153559</v>
      </c>
      <c r="H126" s="84" t="n">
        <f aca="false">IFERROR(__xludf.dummyfunction("""COMPUTED_VALUE"""),628550)</f>
        <v>628550</v>
      </c>
      <c r="I126" s="84" t="n">
        <f aca="false">IFERROR(__xludf.dummyfunction("""COMPUTED_VALUE"""),182259)</f>
        <v>182259</v>
      </c>
      <c r="J126" s="84" t="n">
        <f aca="false">IFERROR(__xludf.dummyfunction("""COMPUTED_VALUE"""),78088)</f>
        <v>78088</v>
      </c>
      <c r="K126" s="84" t="n">
        <f aca="false">IFERROR(__xludf.dummyfunction("""COMPUTED_VALUE"""),36226)</f>
        <v>36226</v>
      </c>
      <c r="L126" s="84" t="n">
        <f aca="false">IFERROR(__xludf.dummyfunction("""COMPUTED_VALUE"""),2161839)</f>
        <v>2161839</v>
      </c>
      <c r="M126" s="84" t="n">
        <f aca="false">IFERROR(__xludf.dummyfunction("""COMPUTED_VALUE"""),647575)</f>
        <v>647575</v>
      </c>
      <c r="N126" s="84" t="n">
        <f aca="false">IFERROR(__xludf.dummyfunction("""COMPUTED_VALUE"""),109265)</f>
        <v>109265</v>
      </c>
      <c r="O126" s="84" t="n">
        <f aca="false">IFERROR(__xludf.dummyfunction("""COMPUTED_VALUE"""),229871)</f>
        <v>229871</v>
      </c>
      <c r="P126" s="84" t="n">
        <f aca="false">IFERROR(__xludf.dummyfunction("""COMPUTED_VALUE"""),1411730)</f>
        <v>1411730</v>
      </c>
      <c r="Q126" s="84" t="n">
        <f aca="false">IFERROR(__xludf.dummyfunction("""COMPUTED_VALUE"""),972311)</f>
        <v>972311</v>
      </c>
      <c r="R126" s="84" t="n">
        <f aca="false">IFERROR(__xludf.dummyfunction("""COMPUTED_VALUE"""),1043564)</f>
        <v>1043564</v>
      </c>
      <c r="S126" s="84" t="n">
        <f aca="false">IFERROR(__xludf.dummyfunction("""COMPUTED_VALUE"""),550201)</f>
        <v>550201</v>
      </c>
      <c r="T126" s="84" t="n">
        <f aca="false">IFERROR(__xludf.dummyfunction("""COMPUTED_VALUE"""),384146)</f>
        <v>384146</v>
      </c>
      <c r="U126" s="84" t="n">
        <f aca="false">IFERROR(__xludf.dummyfunction("""COMPUTED_VALUE"""),724039)</f>
        <v>724039</v>
      </c>
      <c r="V126" s="84" t="n">
        <f aca="false">IFERROR(__xludf.dummyfunction("""COMPUTED_VALUE"""),132442)</f>
        <v>132442</v>
      </c>
      <c r="W126" s="84" t="n">
        <f aca="false">IFERROR(__xludf.dummyfunction("""COMPUTED_VALUE"""),274110)</f>
        <v>274110</v>
      </c>
      <c r="X126" s="84" t="n">
        <f aca="false">IFERROR(__xludf.dummyfunction("""COMPUTED_VALUE"""),380732)</f>
        <v>380732</v>
      </c>
      <c r="Y126" s="84" t="n">
        <f aca="false">IFERROR(__xludf.dummyfunction("""COMPUTED_VALUE"""),879376)</f>
        <v>879376</v>
      </c>
      <c r="Z126" s="84" t="n">
        <f aca="false">IFERROR(__xludf.dummyfunction("""COMPUTED_VALUE"""),813940)</f>
        <v>813940</v>
      </c>
      <c r="AA126" s="84" t="n">
        <f aca="false">IFERROR(__xludf.dummyfunction("""COMPUTED_VALUE"""),530083)</f>
        <v>530083</v>
      </c>
      <c r="AB126" s="84" t="n">
        <f aca="false">IFERROR(__xludf.dummyfunction("""COMPUTED_VALUE"""),686846)</f>
        <v>686846</v>
      </c>
      <c r="AC126" s="84" t="n">
        <f aca="false">IFERROR(__xludf.dummyfunction("""COMPUTED_VALUE"""),440168)</f>
        <v>440168</v>
      </c>
      <c r="AD126" s="84" t="n">
        <f aca="false">IFERROR(__xludf.dummyfunction("""COMPUTED_VALUE"""),401040)</f>
        <v>401040</v>
      </c>
      <c r="AE126" s="84" t="n">
        <f aca="false">IFERROR(__xludf.dummyfunction("""COMPUTED_VALUE"""),223633)</f>
        <v>223633</v>
      </c>
      <c r="AF126" s="84" t="n">
        <f aca="false">IFERROR(__xludf.dummyfunction("""COMPUTED_VALUE"""),127570)</f>
        <v>127570</v>
      </c>
      <c r="AG126" s="84" t="n">
        <f aca="false">IFERROR(__xludf.dummyfunction("""COMPUTED_VALUE"""),514860)</f>
        <v>514860</v>
      </c>
      <c r="AH126" s="84" t="n">
        <f aca="false">IFERROR(__xludf.dummyfunction("""COMPUTED_VALUE"""),601904)</f>
        <v>601904</v>
      </c>
      <c r="AI126" s="84" t="n">
        <f aca="false">IFERROR(__xludf.dummyfunction("""COMPUTED_VALUE"""),1249465)</f>
        <v>1249465</v>
      </c>
      <c r="AJ126" s="84" t="n">
        <f aca="false">IFERROR(__xludf.dummyfunction("""COMPUTED_VALUE"""),1148155)</f>
        <v>1148155</v>
      </c>
      <c r="AK126" s="84" t="n">
        <f aca="false">IFERROR(__xludf.dummyfunction("""COMPUTED_VALUE"""),448200)</f>
        <v>448200</v>
      </c>
      <c r="AL126" s="84" t="n">
        <f aca="false">IFERROR(__xludf.dummyfunction("""COMPUTED_VALUE"""),1786664)</f>
        <v>1786664</v>
      </c>
      <c r="AM126" s="84" t="n">
        <f aca="false">IFERROR(__xludf.dummyfunction("""COMPUTED_VALUE"""),555730)</f>
        <v>555730</v>
      </c>
      <c r="AN126" s="84" t="n">
        <f aca="false">IFERROR(__xludf.dummyfunction("""COMPUTED_VALUE"""),477195)</f>
        <v>477195</v>
      </c>
      <c r="AO126" s="84" t="n">
        <f aca="false">IFERROR(__xludf.dummyfunction("""COMPUTED_VALUE"""),1246115)</f>
        <v>1246115</v>
      </c>
      <c r="AP126" s="84" t="n">
        <f aca="false">IFERROR(__xludf.dummyfunction("""COMPUTED_VALUE"""),79652)</f>
        <v>79652</v>
      </c>
      <c r="AQ126" s="84" t="n">
        <f aca="false">IFERROR(__xludf.dummyfunction("""COMPUTED_VALUE"""),625826)</f>
        <v>625826</v>
      </c>
      <c r="AR126" s="84" t="n">
        <f aca="false">IFERROR(__xludf.dummyfunction("""COMPUTED_VALUE"""),348263)</f>
        <v>348263</v>
      </c>
      <c r="AS126" s="84" t="n">
        <f aca="false">IFERROR(__xludf.dummyfunction("""COMPUTED_VALUE"""),481418)</f>
        <v>481418</v>
      </c>
      <c r="AT126" s="84" t="n">
        <f aca="false">IFERROR(__xludf.dummyfunction("""COMPUTED_VALUE"""),3817134)</f>
        <v>3817134</v>
      </c>
      <c r="AU126" s="84" t="n">
        <f aca="false">IFERROR(__xludf.dummyfunction("""COMPUTED_VALUE"""),349987)</f>
        <v>349987</v>
      </c>
      <c r="AV126" s="84" t="n">
        <f aca="false">IFERROR(__xludf.dummyfunction("""COMPUTED_VALUE"""),34449)</f>
        <v>34449</v>
      </c>
      <c r="AW126" s="84" t="n">
        <f aca="false">IFERROR(__xludf.dummyfunction("""COMPUTED_VALUE"""),594836)</f>
        <v>594836</v>
      </c>
      <c r="AX126" s="84" t="n">
        <f aca="false">IFERROR(__xludf.dummyfunction("""COMPUTED_VALUE"""),680762)</f>
        <v>680762</v>
      </c>
      <c r="AY126" s="84" t="n">
        <f aca="false">IFERROR(__xludf.dummyfunction("""COMPUTED_VALUE"""),650870)</f>
        <v>650870</v>
      </c>
      <c r="AZ126" s="84" t="n">
        <f aca="false">IFERROR(__xludf.dummyfunction("""COMPUTED_VALUE"""),1102700)</f>
        <v>1102700</v>
      </c>
      <c r="BA126" s="84" t="n">
        <f aca="false">IFERROR(__xludf.dummyfunction("""COMPUTED_VALUE"""),92513)</f>
        <v>92513</v>
      </c>
    </row>
    <row r="127" customFormat="false" ht="15.75" hidden="false" customHeight="false" outlineLevel="0" collapsed="false">
      <c r="A127" s="78" t="str">
        <f aca="false">IFERROR(__xludf.dummyfunction("""COMPUTED_VALUE"""),"zip_plus_four_code")</f>
        <v>zip_plus_four_code</v>
      </c>
      <c r="B127" s="72" t="n">
        <f aca="false">IFERROR(__xludf.dummyfunction("""COMPUTED_VALUE"""),33971995)</f>
        <v>33971995</v>
      </c>
      <c r="C127" s="82" t="n">
        <f aca="false">IFERROR(__xludf.dummyfunction("""COMPUTED_VALUE"""),771833)</f>
        <v>771833</v>
      </c>
      <c r="D127" s="83" t="n">
        <f aca="false">IFERROR(__xludf.dummyfunction("""COMPUTED_VALUE"""),103210)</f>
        <v>103210</v>
      </c>
      <c r="E127" s="84" t="n">
        <f aca="false">IFERROR(__xludf.dummyfunction("""COMPUTED_VALUE"""),815878)</f>
        <v>815878</v>
      </c>
      <c r="F127" s="84" t="n">
        <f aca="false">IFERROR(__xludf.dummyfunction("""COMPUTED_VALUE"""),897052)</f>
        <v>897052</v>
      </c>
      <c r="G127" s="84" t="n">
        <f aca="false">IFERROR(__xludf.dummyfunction("""COMPUTED_VALUE"""),2079855)</f>
        <v>2079855</v>
      </c>
      <c r="H127" s="84" t="n">
        <f aca="false">IFERROR(__xludf.dummyfunction("""COMPUTED_VALUE"""),609344)</f>
        <v>609344</v>
      </c>
      <c r="I127" s="84" t="n">
        <f aca="false">IFERROR(__xludf.dummyfunction("""COMPUTED_VALUE"""),173123)</f>
        <v>173123</v>
      </c>
      <c r="J127" s="84" t="n">
        <f aca="false">IFERROR(__xludf.dummyfunction("""COMPUTED_VALUE"""),75344)</f>
        <v>75344</v>
      </c>
      <c r="K127" s="84" t="n">
        <f aca="false">IFERROR(__xludf.dummyfunction("""COMPUTED_VALUE"""),34682)</f>
        <v>34682</v>
      </c>
      <c r="L127" s="84" t="n">
        <f aca="false">IFERROR(__xludf.dummyfunction("""COMPUTED_VALUE"""),2106875)</f>
        <v>2106875</v>
      </c>
      <c r="M127" s="84" t="n">
        <f aca="false">IFERROR(__xludf.dummyfunction("""COMPUTED_VALUE"""),598706)</f>
        <v>598706</v>
      </c>
      <c r="N127" s="84" t="n">
        <f aca="false">IFERROR(__xludf.dummyfunction("""COMPUTED_VALUE"""),95427)</f>
        <v>95427</v>
      </c>
      <c r="O127" s="84" t="n">
        <f aca="false">IFERROR(__xludf.dummyfunction("""COMPUTED_VALUE"""),223759)</f>
        <v>223759</v>
      </c>
      <c r="P127" s="84" t="n">
        <f aca="false">IFERROR(__xludf.dummyfunction("""COMPUTED_VALUE"""),1297325)</f>
        <v>1297325</v>
      </c>
      <c r="Q127" s="84" t="n">
        <f aca="false">IFERROR(__xludf.dummyfunction("""COMPUTED_VALUE"""),919570)</f>
        <v>919570</v>
      </c>
      <c r="R127" s="84" t="n">
        <f aca="false">IFERROR(__xludf.dummyfunction("""COMPUTED_VALUE"""),1016636)</f>
        <v>1016636</v>
      </c>
      <c r="S127" s="84" t="n">
        <f aca="false">IFERROR(__xludf.dummyfunction("""COMPUTED_VALUE"""),534948)</f>
        <v>534948</v>
      </c>
      <c r="T127" s="84" t="n">
        <f aca="false">IFERROR(__xludf.dummyfunction("""COMPUTED_VALUE"""),352769)</f>
        <v>352769</v>
      </c>
      <c r="U127" s="84" t="n">
        <f aca="false">IFERROR(__xludf.dummyfunction("""COMPUTED_VALUE"""),688914)</f>
        <v>688914</v>
      </c>
      <c r="V127" s="84" t="n">
        <f aca="false">IFERROR(__xludf.dummyfunction("""COMPUTED_VALUE"""),127579)</f>
        <v>127579</v>
      </c>
      <c r="W127" s="84" t="n">
        <f aca="false">IFERROR(__xludf.dummyfunction("""COMPUTED_VALUE"""),254785)</f>
        <v>254785</v>
      </c>
      <c r="X127" s="84" t="n">
        <f aca="false">IFERROR(__xludf.dummyfunction("""COMPUTED_VALUE"""),356720)</f>
        <v>356720</v>
      </c>
      <c r="Y127" s="84" t="n">
        <f aca="false">IFERROR(__xludf.dummyfunction("""COMPUTED_VALUE"""),830087)</f>
        <v>830087</v>
      </c>
      <c r="Z127" s="84" t="n">
        <f aca="false">IFERROR(__xludf.dummyfunction("""COMPUTED_VALUE"""),752517)</f>
        <v>752517</v>
      </c>
      <c r="AA127" s="84" t="n">
        <f aca="false">IFERROR(__xludf.dummyfunction("""COMPUTED_VALUE"""),498796)</f>
        <v>498796</v>
      </c>
      <c r="AB127" s="84" t="n">
        <f aca="false">IFERROR(__xludf.dummyfunction("""COMPUTED_VALUE"""),645280)</f>
        <v>645280</v>
      </c>
      <c r="AC127" s="84" t="n">
        <f aca="false">IFERROR(__xludf.dummyfunction("""COMPUTED_VALUE"""),419237)</f>
        <v>419237</v>
      </c>
      <c r="AD127" s="84" t="n">
        <f aca="false">IFERROR(__xludf.dummyfunction("""COMPUTED_VALUE"""),385101)</f>
        <v>385101</v>
      </c>
      <c r="AE127" s="84" t="n">
        <f aca="false">IFERROR(__xludf.dummyfunction("""COMPUTED_VALUE"""),211026)</f>
        <v>211026</v>
      </c>
      <c r="AF127" s="84" t="n">
        <f aca="false">IFERROR(__xludf.dummyfunction("""COMPUTED_VALUE"""),119945)</f>
        <v>119945</v>
      </c>
      <c r="AG127" s="84" t="n">
        <f aca="false">IFERROR(__xludf.dummyfunction("""COMPUTED_VALUE"""),474062)</f>
        <v>474062</v>
      </c>
      <c r="AH127" s="84" t="n">
        <f aca="false">IFERROR(__xludf.dummyfunction("""COMPUTED_VALUE"""),570317)</f>
        <v>570317</v>
      </c>
      <c r="AI127" s="84" t="n">
        <f aca="false">IFERROR(__xludf.dummyfunction("""COMPUTED_VALUE"""),1163561)</f>
        <v>1163561</v>
      </c>
      <c r="AJ127" s="84" t="n">
        <f aca="false">IFERROR(__xludf.dummyfunction("""COMPUTED_VALUE"""),1109887)</f>
        <v>1109887</v>
      </c>
      <c r="AK127" s="84" t="n">
        <f aca="false">IFERROR(__xludf.dummyfunction("""COMPUTED_VALUE"""),428656)</f>
        <v>428656</v>
      </c>
      <c r="AL127" s="84" t="n">
        <f aca="false">IFERROR(__xludf.dummyfunction("""COMPUTED_VALUE"""),1626553)</f>
        <v>1626553</v>
      </c>
      <c r="AM127" s="84" t="n">
        <f aca="false">IFERROR(__xludf.dummyfunction("""COMPUTED_VALUE"""),523115)</f>
        <v>523115</v>
      </c>
      <c r="AN127" s="84" t="n">
        <f aca="false">IFERROR(__xludf.dummyfunction("""COMPUTED_VALUE"""),459491)</f>
        <v>459491</v>
      </c>
      <c r="AO127" s="84" t="n">
        <f aca="false">IFERROR(__xludf.dummyfunction("""COMPUTED_VALUE"""),1154087)</f>
        <v>1154087</v>
      </c>
      <c r="AP127" s="84" t="n">
        <f aca="false">IFERROR(__xludf.dummyfunction("""COMPUTED_VALUE"""),75519)</f>
        <v>75519</v>
      </c>
      <c r="AQ127" s="84" t="n">
        <f aca="false">IFERROR(__xludf.dummyfunction("""COMPUTED_VALUE"""),602540)</f>
        <v>602540</v>
      </c>
      <c r="AR127" s="84" t="n">
        <f aca="false">IFERROR(__xludf.dummyfunction("""COMPUTED_VALUE"""),337360)</f>
        <v>337360</v>
      </c>
      <c r="AS127" s="84" t="n">
        <f aca="false">IFERROR(__xludf.dummyfunction("""COMPUTED_VALUE"""),440130)</f>
        <v>440130</v>
      </c>
      <c r="AT127" s="84" t="n">
        <f aca="false">IFERROR(__xludf.dummyfunction("""COMPUTED_VALUE"""),3682340)</f>
        <v>3682340</v>
      </c>
      <c r="AU127" s="84" t="n">
        <f aca="false">IFERROR(__xludf.dummyfunction("""COMPUTED_VALUE"""),332389)</f>
        <v>332389</v>
      </c>
      <c r="AV127" s="84" t="n">
        <f aca="false">IFERROR(__xludf.dummyfunction("""COMPUTED_VALUE"""),32399)</f>
        <v>32399</v>
      </c>
      <c r="AW127" s="84" t="n">
        <f aca="false">IFERROR(__xludf.dummyfunction("""COMPUTED_VALUE"""),566380)</f>
        <v>566380</v>
      </c>
      <c r="AX127" s="84" t="n">
        <f aca="false">IFERROR(__xludf.dummyfunction("""COMPUTED_VALUE"""),657280)</f>
        <v>657280</v>
      </c>
      <c r="AY127" s="84" t="n">
        <f aca="false">IFERROR(__xludf.dummyfunction("""COMPUTED_VALUE"""),595943)</f>
        <v>595943</v>
      </c>
      <c r="AZ127" s="84" t="n">
        <f aca="false">IFERROR(__xludf.dummyfunction("""COMPUTED_VALUE"""),1053373)</f>
        <v>1053373</v>
      </c>
      <c r="BA127" s="84" t="n">
        <f aca="false">IFERROR(__xludf.dummyfunction("""COMPUTED_VALUE"""),90290)</f>
        <v>90290</v>
      </c>
    </row>
    <row r="128" customFormat="false" ht="15.75" hidden="false" customHeight="false" outlineLevel="0" collapsed="false">
      <c r="A128" s="78" t="str">
        <f aca="false">IFERROR(__xludf.dummyfunction("""COMPUTED_VALUE"""),"owner_occupied")</f>
        <v>owner_occupied</v>
      </c>
      <c r="B128" s="72" t="n">
        <f aca="false">IFERROR(__xludf.dummyfunction("""COMPUTED_VALUE"""),11007028)</f>
        <v>11007028</v>
      </c>
      <c r="C128" s="82" t="n">
        <f aca="false">IFERROR(__xludf.dummyfunction("""COMPUTED_VALUE"""),185726)</f>
        <v>185726</v>
      </c>
      <c r="D128" s="83" t="n">
        <f aca="false">IFERROR(__xludf.dummyfunction("""COMPUTED_VALUE"""),27266)</f>
        <v>27266</v>
      </c>
      <c r="E128" s="84" t="n">
        <f aca="false">IFERROR(__xludf.dummyfunction("""COMPUTED_VALUE"""),322419)</f>
        <v>322419</v>
      </c>
      <c r="F128" s="84" t="n">
        <f aca="false">IFERROR(__xludf.dummyfunction("""COMPUTED_VALUE"""),126437)</f>
        <v>126437</v>
      </c>
      <c r="G128" s="84" t="n">
        <f aca="false">IFERROR(__xludf.dummyfunction("""COMPUTED_VALUE"""),821236)</f>
        <v>821236</v>
      </c>
      <c r="H128" s="84" t="n">
        <f aca="false">IFERROR(__xludf.dummyfunction("""COMPUTED_VALUE"""),225464)</f>
        <v>225464</v>
      </c>
      <c r="I128" s="84" t="n">
        <f aca="false">IFERROR(__xludf.dummyfunction("""COMPUTED_VALUE"""),102333)</f>
        <v>102333</v>
      </c>
      <c r="J128" s="84" t="n">
        <f aca="false">IFERROR(__xludf.dummyfunction("""COMPUTED_VALUE"""),33458)</f>
        <v>33458</v>
      </c>
      <c r="K128" s="84" t="n">
        <f aca="false">IFERROR(__xludf.dummyfunction("""COMPUTED_VALUE"""),26309)</f>
        <v>26309</v>
      </c>
      <c r="L128" s="84" t="n">
        <f aca="false">IFERROR(__xludf.dummyfunction("""COMPUTED_VALUE"""),970958)</f>
        <v>970958</v>
      </c>
      <c r="M128" s="84" t="n">
        <f aca="false">IFERROR(__xludf.dummyfunction("""COMPUTED_VALUE"""),235700)</f>
        <v>235700</v>
      </c>
      <c r="N128" s="84" t="n">
        <f aca="false">IFERROR(__xludf.dummyfunction("""COMPUTED_VALUE"""),28195)</f>
        <v>28195</v>
      </c>
      <c r="O128" s="84" t="n">
        <f aca="false">IFERROR(__xludf.dummyfunction("""COMPUTED_VALUE"""),45912)</f>
        <v>45912</v>
      </c>
      <c r="P128" s="84" t="n">
        <f aca="false">IFERROR(__xludf.dummyfunction("""COMPUTED_VALUE"""),573472)</f>
        <v>573472</v>
      </c>
      <c r="Q128" s="84" t="n">
        <f aca="false">IFERROR(__xludf.dummyfunction("""COMPUTED_VALUE"""),372319)</f>
        <v>372319</v>
      </c>
      <c r="R128" s="84" t="n">
        <f aca="false">IFERROR(__xludf.dummyfunction("""COMPUTED_VALUE"""),123345)</f>
        <v>123345</v>
      </c>
      <c r="S128" s="84" t="n">
        <f aca="false">IFERROR(__xludf.dummyfunction("""COMPUTED_VALUE"""),144034)</f>
        <v>144034</v>
      </c>
      <c r="T128" s="84" t="n">
        <f aca="false">IFERROR(__xludf.dummyfunction("""COMPUTED_VALUE"""),148892)</f>
        <v>148892</v>
      </c>
      <c r="U128" s="84" t="n">
        <f aca="false">IFERROR(__xludf.dummyfunction("""COMPUTED_VALUE"""),202063)</f>
        <v>202063</v>
      </c>
      <c r="V128" s="84" t="n">
        <f aca="false">IFERROR(__xludf.dummyfunction("""COMPUTED_VALUE"""),32427)</f>
        <v>32427</v>
      </c>
      <c r="W128" s="84" t="n">
        <f aca="false">IFERROR(__xludf.dummyfunction("""COMPUTED_VALUE"""),111144)</f>
        <v>111144</v>
      </c>
      <c r="X128" s="84" t="n">
        <f aca="false">IFERROR(__xludf.dummyfunction("""COMPUTED_VALUE"""),182470)</f>
        <v>182470</v>
      </c>
      <c r="Y128" s="84" t="n">
        <f aca="false">IFERROR(__xludf.dummyfunction("""COMPUTED_VALUE"""),266079)</f>
        <v>266079</v>
      </c>
      <c r="Z128" s="84" t="n">
        <f aca="false">IFERROR(__xludf.dummyfunction("""COMPUTED_VALUE"""),280659)</f>
        <v>280659</v>
      </c>
      <c r="AA128" s="84" t="n">
        <f aca="false">IFERROR(__xludf.dummyfunction("""COMPUTED_VALUE"""),76561)</f>
        <v>76561</v>
      </c>
      <c r="AB128" s="84" t="n">
        <f aca="false">IFERROR(__xludf.dummyfunction("""COMPUTED_VALUE"""),205414)</f>
        <v>205414</v>
      </c>
      <c r="AC128" s="84" t="n">
        <f aca="false">IFERROR(__xludf.dummyfunction("""COMPUTED_VALUE"""),38912)</f>
        <v>38912</v>
      </c>
      <c r="AD128" s="84" t="n">
        <f aca="false">IFERROR(__xludf.dummyfunction("""COMPUTED_VALUE"""),62828)</f>
        <v>62828</v>
      </c>
      <c r="AE128" s="84" t="n">
        <f aca="false">IFERROR(__xludf.dummyfunction("""COMPUTED_VALUE"""),85839)</f>
        <v>85839</v>
      </c>
      <c r="AF128" s="84" t="n">
        <f aca="false">IFERROR(__xludf.dummyfunction("""COMPUTED_VALUE"""),39357)</f>
        <v>39357</v>
      </c>
      <c r="AG128" s="84" t="n">
        <f aca="false">IFERROR(__xludf.dummyfunction("""COMPUTED_VALUE"""),275673)</f>
        <v>275673</v>
      </c>
      <c r="AH128" s="84" t="n">
        <f aca="false">IFERROR(__xludf.dummyfunction("""COMPUTED_VALUE"""),66289)</f>
        <v>66289</v>
      </c>
      <c r="AI128" s="84" t="n">
        <f aca="false">IFERROR(__xludf.dummyfunction("""COMPUTED_VALUE"""),572761)</f>
        <v>572761</v>
      </c>
      <c r="AJ128" s="84" t="n">
        <f aca="false">IFERROR(__xludf.dummyfunction("""COMPUTED_VALUE"""),384557)</f>
        <v>384557</v>
      </c>
      <c r="AK128" s="84" t="n">
        <f aca="false">IFERROR(__xludf.dummyfunction("""COMPUTED_VALUE"""),38745)</f>
        <v>38745</v>
      </c>
      <c r="AL128" s="84" t="n">
        <f aca="false">IFERROR(__xludf.dummyfunction("""COMPUTED_VALUE"""),524988)</f>
        <v>524988</v>
      </c>
      <c r="AM128" s="84" t="n">
        <f aca="false">IFERROR(__xludf.dummyfunction("""COMPUTED_VALUE"""),94344)</f>
        <v>94344</v>
      </c>
      <c r="AN128" s="84" t="n">
        <f aca="false">IFERROR(__xludf.dummyfunction("""COMPUTED_VALUE"""),116637)</f>
        <v>116637</v>
      </c>
      <c r="AO128" s="84" t="n">
        <f aca="false">IFERROR(__xludf.dummyfunction("""COMPUTED_VALUE"""),496954)</f>
        <v>496954</v>
      </c>
      <c r="AP128" s="84" t="n">
        <f aca="false">IFERROR(__xludf.dummyfunction("""COMPUTED_VALUE"""),35156)</f>
        <v>35156</v>
      </c>
      <c r="AQ128" s="84" t="n">
        <f aca="false">IFERROR(__xludf.dummyfunction("""COMPUTED_VALUE"""),199957)</f>
        <v>199957</v>
      </c>
      <c r="AR128" s="84" t="n">
        <f aca="false">IFERROR(__xludf.dummyfunction("""COMPUTED_VALUE"""),37614)</f>
        <v>37614</v>
      </c>
      <c r="AS128" s="84" t="n">
        <f aca="false">IFERROR(__xludf.dummyfunction("""COMPUTED_VALUE"""),184818)</f>
        <v>184818</v>
      </c>
      <c r="AT128" s="84" t="n">
        <f aca="false">IFERROR(__xludf.dummyfunction("""COMPUTED_VALUE"""),1037096)</f>
        <v>1037096</v>
      </c>
      <c r="AU128" s="84" t="n">
        <f aca="false">IFERROR(__xludf.dummyfunction("""COMPUTED_VALUE"""),97735)</f>
        <v>97735</v>
      </c>
      <c r="AV128" s="84" t="n">
        <f aca="false">IFERROR(__xludf.dummyfunction("""COMPUTED_VALUE"""),15426)</f>
        <v>15426</v>
      </c>
      <c r="AW128" s="84" t="n">
        <f aca="false">IFERROR(__xludf.dummyfunction("""COMPUTED_VALUE"""),210316)</f>
        <v>210316</v>
      </c>
      <c r="AX128" s="84" t="n">
        <f aca="false">IFERROR(__xludf.dummyfunction("""COMPUTED_VALUE"""),182962)</f>
        <v>182962</v>
      </c>
      <c r="AY128" s="84" t="n">
        <f aca="false">IFERROR(__xludf.dummyfunction("""COMPUTED_VALUE"""),71277)</f>
        <v>71277</v>
      </c>
      <c r="AZ128" s="84" t="n">
        <f aca="false">IFERROR(__xludf.dummyfunction("""COMPUTED_VALUE"""),245167)</f>
        <v>245167</v>
      </c>
      <c r="BA128" s="84" t="n">
        <f aca="false">IFERROR(__xludf.dummyfunction("""COMPUTED_VALUE"""),21328)</f>
        <v>21328</v>
      </c>
    </row>
    <row r="129" customFormat="false" ht="15.75" hidden="false" customHeight="false" outlineLevel="0" collapsed="false">
      <c r="B129" s="59"/>
      <c r="C129" s="79"/>
      <c r="D129" s="80"/>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row>
    <row r="130" customFormat="false" ht="15.75" hidden="false" customHeight="false" outlineLevel="0" collapsed="false">
      <c r="A130" s="74" t="s">
        <v>1820</v>
      </c>
      <c r="B130" s="7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row>
    <row r="131" customFormat="false" ht="15.75" hidden="false" customHeight="false" outlineLevel="0" collapsed="false">
      <c r="A131" s="75" t="str">
        <f aca="false">IFERROR(__xludf.dummyfunction("TRANSPOSE(IMPORTRANGE(""https://docs.google.com/spreadsheets/d/1GKhz9pSyUWFf4Xrp7ACbjr4UA3dMq6VxKG1OCLWM9yA"", ""'Deeds'!F4:AR56""))"),"document_type")</f>
        <v>document_type</v>
      </c>
      <c r="B131" s="56" t="n">
        <f aca="false">IFERROR(__xludf.dummyfunction("""COMPUTED_VALUE"""),2257424)</f>
        <v>2257424</v>
      </c>
      <c r="C131" s="76" t="n">
        <f aca="false">IFERROR(__xludf.dummyfunction("""COMPUTED_VALUE"""),21864)</f>
        <v>21864</v>
      </c>
      <c r="D131" s="77" t="n">
        <f aca="false">IFERROR(__xludf.dummyfunction("""COMPUTED_VALUE"""),8116)</f>
        <v>8116</v>
      </c>
      <c r="E131" s="77" t="n">
        <f aca="false">IFERROR(__xludf.dummyfunction("""COMPUTED_VALUE"""),38371)</f>
        <v>38371</v>
      </c>
      <c r="F131" s="77" t="n">
        <f aca="false">IFERROR(__xludf.dummyfunction("""COMPUTED_VALUE"""),43274)</f>
        <v>43274</v>
      </c>
      <c r="G131" s="77" t="n">
        <f aca="false">IFERROR(__xludf.dummyfunction("""COMPUTED_VALUE"""),193045)</f>
        <v>193045</v>
      </c>
      <c r="H131" s="77" t="n">
        <f aca="false">IFERROR(__xludf.dummyfunction("""COMPUTED_VALUE"""),35862)</f>
        <v>35862</v>
      </c>
      <c r="I131" s="77" t="n">
        <f aca="false">IFERROR(__xludf.dummyfunction("""COMPUTED_VALUE"""),6284)</f>
        <v>6284</v>
      </c>
      <c r="J131" s="77" t="n">
        <f aca="false">IFERROR(__xludf.dummyfunction("""COMPUTED_VALUE"""),4328)</f>
        <v>4328</v>
      </c>
      <c r="K131" s="77" t="n">
        <f aca="false">IFERROR(__xludf.dummyfunction("""COMPUTED_VALUE"""),8131)</f>
        <v>8131</v>
      </c>
      <c r="L131" s="77" t="n">
        <f aca="false">IFERROR(__xludf.dummyfunction("""COMPUTED_VALUE"""),126274)</f>
        <v>126274</v>
      </c>
      <c r="M131" s="77" t="n">
        <f aca="false">IFERROR(__xludf.dummyfunction("""COMPUTED_VALUE"""),49865)</f>
        <v>49865</v>
      </c>
      <c r="N131" s="77" t="n">
        <f aca="false">IFERROR(__xludf.dummyfunction("""COMPUTED_VALUE"""),5483)</f>
        <v>5483</v>
      </c>
      <c r="O131" s="77" t="n">
        <f aca="false">IFERROR(__xludf.dummyfunction("""COMPUTED_VALUE"""),14751)</f>
        <v>14751</v>
      </c>
      <c r="P131" s="77" t="n">
        <f aca="false">IFERROR(__xludf.dummyfunction("""COMPUTED_VALUE"""),122714)</f>
        <v>122714</v>
      </c>
      <c r="Q131" s="77" t="n">
        <f aca="false">IFERROR(__xludf.dummyfunction("""COMPUTED_VALUE"""),60465)</f>
        <v>60465</v>
      </c>
      <c r="R131" s="77" t="n">
        <f aca="false">IFERROR(__xludf.dummyfunction("""COMPUTED_VALUE"""),49632)</f>
        <v>49632</v>
      </c>
      <c r="S131" s="77" t="n">
        <f aca="false">IFERROR(__xludf.dummyfunction("""COMPUTED_VALUE"""),11299)</f>
        <v>11299</v>
      </c>
      <c r="T131" s="77" t="n">
        <f aca="false">IFERROR(__xludf.dummyfunction("""COMPUTED_VALUE"""),20959)</f>
        <v>20959</v>
      </c>
      <c r="U131" s="77" t="n">
        <f aca="false">IFERROR(__xludf.dummyfunction("""COMPUTED_VALUE"""),18028)</f>
        <v>18028</v>
      </c>
      <c r="V131" s="77" t="n">
        <f aca="false">IFERROR(__xludf.dummyfunction("""COMPUTED_VALUE"""),3623)</f>
        <v>3623</v>
      </c>
      <c r="W131" s="77" t="n">
        <f aca="false">IFERROR(__xludf.dummyfunction("""COMPUTED_VALUE"""),24642)</f>
        <v>24642</v>
      </c>
      <c r="X131" s="77" t="n">
        <f aca="false">IFERROR(__xludf.dummyfunction("""COMPUTED_VALUE"""),15221)</f>
        <v>15221</v>
      </c>
      <c r="Y131" s="77" t="n">
        <f aca="false">IFERROR(__xludf.dummyfunction("""COMPUTED_VALUE"""),36139)</f>
        <v>36139</v>
      </c>
      <c r="Z131" s="77" t="n">
        <f aca="false">IFERROR(__xludf.dummyfunction("""COMPUTED_VALUE"""),40184)</f>
        <v>40184</v>
      </c>
      <c r="AA131" s="77" t="n">
        <f aca="false">IFERROR(__xludf.dummyfunction("""COMPUTED_VALUE"""),3870)</f>
        <v>3870</v>
      </c>
      <c r="AB131" s="77" t="n">
        <f aca="false">IFERROR(__xludf.dummyfunction("""COMPUTED_VALUE"""),34652)</f>
        <v>34652</v>
      </c>
      <c r="AC131" s="77" t="n">
        <f aca="false">IFERROR(__xludf.dummyfunction("""COMPUTED_VALUE"""),18709)</f>
        <v>18709</v>
      </c>
      <c r="AD131" s="77" t="n">
        <f aca="false">IFERROR(__xludf.dummyfunction("""COMPUTED_VALUE"""),14135)</f>
        <v>14135</v>
      </c>
      <c r="AE131" s="77" t="n">
        <f aca="false">IFERROR(__xludf.dummyfunction("""COMPUTED_VALUE"""),6761)</f>
        <v>6761</v>
      </c>
      <c r="AF131" s="77" t="n">
        <f aca="false">IFERROR(__xludf.dummyfunction("""COMPUTED_VALUE"""),3825)</f>
        <v>3825</v>
      </c>
      <c r="AG131" s="77" t="n">
        <f aca="false">IFERROR(__xludf.dummyfunction("""COMPUTED_VALUE"""),38534)</f>
        <v>38534</v>
      </c>
      <c r="AH131" s="77" t="n">
        <f aca="false">IFERROR(__xludf.dummyfunction("""COMPUTED_VALUE"""),12730)</f>
        <v>12730</v>
      </c>
      <c r="AI131" s="77" t="n">
        <f aca="false">IFERROR(__xludf.dummyfunction("""COMPUTED_VALUE"""),62679)</f>
        <v>62679</v>
      </c>
      <c r="AJ131" s="77" t="n">
        <f aca="false">IFERROR(__xludf.dummyfunction("""COMPUTED_VALUE"""),76719)</f>
        <v>76719</v>
      </c>
      <c r="AK131" s="77" t="n">
        <f aca="false">IFERROR(__xludf.dummyfunction("""COMPUTED_VALUE"""),41655)</f>
        <v>41655</v>
      </c>
      <c r="AL131" s="77" t="n">
        <f aca="false">IFERROR(__xludf.dummyfunction("""COMPUTED_VALUE"""),220054)</f>
        <v>220054</v>
      </c>
      <c r="AM131" s="77" t="n">
        <f aca="false">IFERROR(__xludf.dummyfunction("""COMPUTED_VALUE"""),38696)</f>
        <v>38696</v>
      </c>
      <c r="AN131" s="77" t="n">
        <f aca="false">IFERROR(__xludf.dummyfunction("""COMPUTED_VALUE"""),36790)</f>
        <v>36790</v>
      </c>
      <c r="AO131" s="77" t="n">
        <f aca="false">IFERROR(__xludf.dummyfunction("""COMPUTED_VALUE"""),140440)</f>
        <v>140440</v>
      </c>
      <c r="AP131" s="77" t="n">
        <f aca="false">IFERROR(__xludf.dummyfunction("""COMPUTED_VALUE"""),3464)</f>
        <v>3464</v>
      </c>
      <c r="AQ131" s="77" t="n">
        <f aca="false">IFERROR(__xludf.dummyfunction("""COMPUTED_VALUE"""),41797)</f>
        <v>41797</v>
      </c>
      <c r="AR131" s="77" t="n">
        <f aca="false">IFERROR(__xludf.dummyfunction("""COMPUTED_VALUE"""),1002)</f>
        <v>1002</v>
      </c>
      <c r="AS131" s="77" t="n">
        <f aca="false">IFERROR(__xludf.dummyfunction("""COMPUTED_VALUE"""),56568)</f>
        <v>56568</v>
      </c>
      <c r="AT131" s="77" t="n">
        <f aca="false">IFERROR(__xludf.dummyfunction("""COMPUTED_VALUE"""),237485)</f>
        <v>237485</v>
      </c>
      <c r="AU131" s="77" t="n">
        <f aca="false">IFERROR(__xludf.dummyfunction("""COMPUTED_VALUE"""),16303)</f>
        <v>16303</v>
      </c>
      <c r="AV131" s="77" t="n">
        <f aca="false">IFERROR(__xludf.dummyfunction("""COMPUTED_VALUE"""),0)</f>
        <v>0</v>
      </c>
      <c r="AW131" s="77" t="n">
        <f aca="false">IFERROR(__xludf.dummyfunction("""COMPUTED_VALUE"""),31676)</f>
        <v>31676</v>
      </c>
      <c r="AX131" s="77" t="n">
        <f aca="false">IFERROR(__xludf.dummyfunction("""COMPUTED_VALUE"""),58616)</f>
        <v>58616</v>
      </c>
      <c r="AY131" s="77" t="n">
        <f aca="false">IFERROR(__xludf.dummyfunction("""COMPUTED_VALUE"""),11431)</f>
        <v>11431</v>
      </c>
      <c r="AZ131" s="77" t="n">
        <f aca="false">IFERROR(__xludf.dummyfunction("""COMPUTED_VALUE"""),86255)</f>
        <v>86255</v>
      </c>
      <c r="BA131" s="77" t="n">
        <f aca="false">IFERROR(__xludf.dummyfunction("""COMPUTED_VALUE"""),4024)</f>
        <v>4024</v>
      </c>
    </row>
    <row r="132" customFormat="false" ht="15.75" hidden="false" customHeight="false" outlineLevel="0" collapsed="false">
      <c r="A132" s="78" t="str">
        <f aca="false">IFERROR(__xludf.dummyfunction("""COMPUTED_VALUE"""),"recording_date")</f>
        <v>recording_date</v>
      </c>
      <c r="B132" s="72" t="n">
        <f aca="false">IFERROR(__xludf.dummyfunction("""COMPUTED_VALUE"""),13432725)</f>
        <v>13432725</v>
      </c>
      <c r="C132" s="73" t="n">
        <f aca="false">IFERROR(__xludf.dummyfunction("""COMPUTED_VALUE"""),167322)</f>
        <v>167322</v>
      </c>
      <c r="D132" s="70" t="n">
        <f aca="false">IFERROR(__xludf.dummyfunction("""COMPUTED_VALUE"""),31432)</f>
        <v>31432</v>
      </c>
      <c r="E132" s="70" t="n">
        <f aca="false">IFERROR(__xludf.dummyfunction("""COMPUTED_VALUE"""),536863)</f>
        <v>536863</v>
      </c>
      <c r="F132" s="70" t="n">
        <f aca="false">IFERROR(__xludf.dummyfunction("""COMPUTED_VALUE"""),286376)</f>
        <v>286376</v>
      </c>
      <c r="G132" s="70" t="n">
        <f aca="false">IFERROR(__xludf.dummyfunction("""COMPUTED_VALUE"""),1325638)</f>
        <v>1325638</v>
      </c>
      <c r="H132" s="70" t="n">
        <f aca="false">IFERROR(__xludf.dummyfunction("""COMPUTED_VALUE"""),259851)</f>
        <v>259851</v>
      </c>
      <c r="I132" s="70" t="n">
        <f aca="false">IFERROR(__xludf.dummyfunction("""COMPUTED_VALUE"""),48278)</f>
        <v>48278</v>
      </c>
      <c r="J132" s="70" t="n">
        <f aca="false">IFERROR(__xludf.dummyfunction("""COMPUTED_VALUE"""),30954)</f>
        <v>30954</v>
      </c>
      <c r="K132" s="70" t="n">
        <f aca="false">IFERROR(__xludf.dummyfunction("""COMPUTED_VALUE"""),22537)</f>
        <v>22537</v>
      </c>
      <c r="L132" s="70" t="n">
        <f aca="false">IFERROR(__xludf.dummyfunction("""COMPUTED_VALUE"""),1210648)</f>
        <v>1210648</v>
      </c>
      <c r="M132" s="70" t="n">
        <f aca="false">IFERROR(__xludf.dummyfunction("""COMPUTED_VALUE"""),195162)</f>
        <v>195162</v>
      </c>
      <c r="N132" s="70" t="n">
        <f aca="false">IFERROR(__xludf.dummyfunction("""COMPUTED_VALUE"""),76304)</f>
        <v>76304</v>
      </c>
      <c r="O132" s="70" t="n">
        <f aca="false">IFERROR(__xludf.dummyfunction("""COMPUTED_VALUE"""),71359)</f>
        <v>71359</v>
      </c>
      <c r="P132" s="70" t="n">
        <f aca="false">IFERROR(__xludf.dummyfunction("""COMPUTED_VALUE"""),494655)</f>
        <v>494655</v>
      </c>
      <c r="Q132" s="70" t="n">
        <f aca="false">IFERROR(__xludf.dummyfunction("""COMPUTED_VALUE"""),365787)</f>
        <v>365787</v>
      </c>
      <c r="R132" s="70" t="n">
        <f aca="false">IFERROR(__xludf.dummyfunction("""COMPUTED_VALUE"""),156003)</f>
        <v>156003</v>
      </c>
      <c r="S132" s="70" t="n">
        <f aca="false">IFERROR(__xludf.dummyfunction("""COMPUTED_VALUE"""),58979)</f>
        <v>58979</v>
      </c>
      <c r="T132" s="70" t="n">
        <f aca="false">IFERROR(__xludf.dummyfunction("""COMPUTED_VALUE"""),69734)</f>
        <v>69734</v>
      </c>
      <c r="U132" s="70" t="n">
        <f aca="false">IFERROR(__xludf.dummyfunction("""COMPUTED_VALUE"""),244935)</f>
        <v>244935</v>
      </c>
      <c r="V132" s="70" t="n">
        <f aca="false">IFERROR(__xludf.dummyfunction("""COMPUTED_VALUE"""),14164)</f>
        <v>14164</v>
      </c>
      <c r="W132" s="70" t="n">
        <f aca="false">IFERROR(__xludf.dummyfunction("""COMPUTED_VALUE"""),156640)</f>
        <v>156640</v>
      </c>
      <c r="X132" s="70" t="n">
        <f aca="false">IFERROR(__xludf.dummyfunction("""COMPUTED_VALUE"""),106877)</f>
        <v>106877</v>
      </c>
      <c r="Y132" s="70" t="n">
        <f aca="false">IFERROR(__xludf.dummyfunction("""COMPUTED_VALUE"""),200549)</f>
        <v>200549</v>
      </c>
      <c r="Z132" s="70" t="n">
        <f aca="false">IFERROR(__xludf.dummyfunction("""COMPUTED_VALUE"""),179202)</f>
        <v>179202</v>
      </c>
      <c r="AA132" s="70" t="n">
        <f aca="false">IFERROR(__xludf.dummyfunction("""COMPUTED_VALUE"""),104747)</f>
        <v>104747</v>
      </c>
      <c r="AB132" s="70" t="n">
        <f aca="false">IFERROR(__xludf.dummyfunction("""COMPUTED_VALUE"""),214209)</f>
        <v>214209</v>
      </c>
      <c r="AC132" s="70" t="n">
        <f aca="false">IFERROR(__xludf.dummyfunction("""COMPUTED_VALUE"""),217017)</f>
        <v>217017</v>
      </c>
      <c r="AD132" s="70" t="n">
        <f aca="false">IFERROR(__xludf.dummyfunction("""COMPUTED_VALUE"""),63425)</f>
        <v>63425</v>
      </c>
      <c r="AE132" s="70" t="n">
        <f aca="false">IFERROR(__xludf.dummyfunction("""COMPUTED_VALUE"""),136172)</f>
        <v>136172</v>
      </c>
      <c r="AF132" s="70" t="n">
        <f aca="false">IFERROR(__xludf.dummyfunction("""COMPUTED_VALUE"""),23945)</f>
        <v>23945</v>
      </c>
      <c r="AG132" s="70" t="n">
        <f aca="false">IFERROR(__xludf.dummyfunction("""COMPUTED_VALUE"""),207300)</f>
        <v>207300</v>
      </c>
      <c r="AH132" s="70" t="n">
        <f aca="false">IFERROR(__xludf.dummyfunction("""COMPUTED_VALUE"""),144593)</f>
        <v>144593</v>
      </c>
      <c r="AI132" s="70" t="n">
        <f aca="false">IFERROR(__xludf.dummyfunction("""COMPUTED_VALUE"""),612404)</f>
        <v>612404</v>
      </c>
      <c r="AJ132" s="70" t="n">
        <f aca="false">IFERROR(__xludf.dummyfunction("""COMPUTED_VALUE"""),469156)</f>
        <v>469156</v>
      </c>
      <c r="AK132" s="70" t="n">
        <f aca="false">IFERROR(__xludf.dummyfunction("""COMPUTED_VALUE"""),81947)</f>
        <v>81947</v>
      </c>
      <c r="AL132" s="70" t="n">
        <f aca="false">IFERROR(__xludf.dummyfunction("""COMPUTED_VALUE"""),805802)</f>
        <v>805802</v>
      </c>
      <c r="AM132" s="70" t="n">
        <f aca="false">IFERROR(__xludf.dummyfunction("""COMPUTED_VALUE"""),127723)</f>
        <v>127723</v>
      </c>
      <c r="AN132" s="70" t="n">
        <f aca="false">IFERROR(__xludf.dummyfunction("""COMPUTED_VALUE"""),204382)</f>
        <v>204382</v>
      </c>
      <c r="AO132" s="70" t="n">
        <f aca="false">IFERROR(__xludf.dummyfunction("""COMPUTED_VALUE"""),545551)</f>
        <v>545551</v>
      </c>
      <c r="AP132" s="70" t="n">
        <f aca="false">IFERROR(__xludf.dummyfunction("""COMPUTED_VALUE"""),16304)</f>
        <v>16304</v>
      </c>
      <c r="AQ132" s="70" t="n">
        <f aca="false">IFERROR(__xludf.dummyfunction("""COMPUTED_VALUE"""),210073)</f>
        <v>210073</v>
      </c>
      <c r="AR132" s="70" t="n">
        <f aca="false">IFERROR(__xludf.dummyfunction("""COMPUTED_VALUE"""),35355)</f>
        <v>35355</v>
      </c>
      <c r="AS132" s="70" t="n">
        <f aca="false">IFERROR(__xludf.dummyfunction("""COMPUTED_VALUE"""),241379)</f>
        <v>241379</v>
      </c>
      <c r="AT132" s="70" t="n">
        <f aca="false">IFERROR(__xludf.dummyfunction("""COMPUTED_VALUE"""),1487224)</f>
        <v>1487224</v>
      </c>
      <c r="AU132" s="70" t="n">
        <f aca="false">IFERROR(__xludf.dummyfunction("""COMPUTED_VALUE"""),128662)</f>
        <v>128662</v>
      </c>
      <c r="AV132" s="70" t="n">
        <f aca="false">IFERROR(__xludf.dummyfunction("""COMPUTED_VALUE"""),11238)</f>
        <v>11238</v>
      </c>
      <c r="AW132" s="70" t="n">
        <f aca="false">IFERROR(__xludf.dummyfunction("""COMPUTED_VALUE"""),198878)</f>
        <v>198878</v>
      </c>
      <c r="AX132" s="70" t="n">
        <f aca="false">IFERROR(__xludf.dummyfunction("""COMPUTED_VALUE"""),313375)</f>
        <v>313375</v>
      </c>
      <c r="AY132" s="70" t="n">
        <f aca="false">IFERROR(__xludf.dummyfunction("""COMPUTED_VALUE"""),237503)</f>
        <v>237503</v>
      </c>
      <c r="AZ132" s="70" t="n">
        <f aca="false">IFERROR(__xludf.dummyfunction("""COMPUTED_VALUE"""),257915)</f>
        <v>257915</v>
      </c>
      <c r="BA132" s="70" t="n">
        <f aca="false">IFERROR(__xludf.dummyfunction("""COMPUTED_VALUE"""),26197)</f>
        <v>26197</v>
      </c>
    </row>
    <row r="133" customFormat="false" ht="15.75" hidden="false" customHeight="false" outlineLevel="0" collapsed="false">
      <c r="A133" s="78" t="str">
        <f aca="false">IFERROR(__xludf.dummyfunction("""COMPUTED_VALUE"""),"original_contract_date")</f>
        <v>original_contract_date</v>
      </c>
      <c r="B133" s="72" t="n">
        <f aca="false">IFERROR(__xludf.dummyfunction("""COMPUTED_VALUE"""),12645072)</f>
        <v>12645072</v>
      </c>
      <c r="C133" s="73" t="n">
        <f aca="false">IFERROR(__xludf.dummyfunction("""COMPUTED_VALUE"""),291118)</f>
        <v>291118</v>
      </c>
      <c r="D133" s="70" t="n">
        <f aca="false">IFERROR(__xludf.dummyfunction("""COMPUTED_VALUE"""),25113)</f>
        <v>25113</v>
      </c>
      <c r="E133" s="70" t="n">
        <f aca="false">IFERROR(__xludf.dummyfunction("""COMPUTED_VALUE"""),376570)</f>
        <v>376570</v>
      </c>
      <c r="F133" s="70" t="n">
        <f aca="false">IFERROR(__xludf.dummyfunction("""COMPUTED_VALUE"""),431110)</f>
        <v>431110</v>
      </c>
      <c r="G133" s="70" t="n">
        <f aca="false">IFERROR(__xludf.dummyfunction("""COMPUTED_VALUE"""),753712)</f>
        <v>753712</v>
      </c>
      <c r="H133" s="70" t="n">
        <f aca="false">IFERROR(__xludf.dummyfunction("""COMPUTED_VALUE"""),229572)</f>
        <v>229572</v>
      </c>
      <c r="I133" s="70" t="n">
        <f aca="false">IFERROR(__xludf.dummyfunction("""COMPUTED_VALUE"""),43061)</f>
        <v>43061</v>
      </c>
      <c r="J133" s="70" t="n">
        <f aca="false">IFERROR(__xludf.dummyfunction("""COMPUTED_VALUE"""),25379)</f>
        <v>25379</v>
      </c>
      <c r="K133" s="70" t="n">
        <f aca="false">IFERROR(__xludf.dummyfunction("""COMPUTED_VALUE"""),16054)</f>
        <v>16054</v>
      </c>
      <c r="L133" s="70" t="n">
        <f aca="false">IFERROR(__xludf.dummyfunction("""COMPUTED_VALUE"""),1348856)</f>
        <v>1348856</v>
      </c>
      <c r="M133" s="70" t="n">
        <f aca="false">IFERROR(__xludf.dummyfunction("""COMPUTED_VALUE"""),296289)</f>
        <v>296289</v>
      </c>
      <c r="N133" s="70" t="n">
        <f aca="false">IFERROR(__xludf.dummyfunction("""COMPUTED_VALUE"""),62864)</f>
        <v>62864</v>
      </c>
      <c r="O133" s="70" t="n">
        <f aca="false">IFERROR(__xludf.dummyfunction("""COMPUTED_VALUE"""),55960)</f>
        <v>55960</v>
      </c>
      <c r="P133" s="70" t="n">
        <f aca="false">IFERROR(__xludf.dummyfunction("""COMPUTED_VALUE"""),354364)</f>
        <v>354364</v>
      </c>
      <c r="Q133" s="70" t="n">
        <f aca="false">IFERROR(__xludf.dummyfunction("""COMPUTED_VALUE"""),301088)</f>
        <v>301088</v>
      </c>
      <c r="R133" s="70" t="n">
        <f aca="false">IFERROR(__xludf.dummyfunction("""COMPUTED_VALUE"""),166707)</f>
        <v>166707</v>
      </c>
      <c r="S133" s="70" t="n">
        <f aca="false">IFERROR(__xludf.dummyfunction("""COMPUTED_VALUE"""),227101)</f>
        <v>227101</v>
      </c>
      <c r="T133" s="70" t="n">
        <f aca="false">IFERROR(__xludf.dummyfunction("""COMPUTED_VALUE"""),142502)</f>
        <v>142502</v>
      </c>
      <c r="U133" s="70" t="n">
        <f aca="false">IFERROR(__xludf.dummyfunction("""COMPUTED_VALUE"""),111689)</f>
        <v>111689</v>
      </c>
      <c r="V133" s="70" t="n">
        <f aca="false">IFERROR(__xludf.dummyfunction("""COMPUTED_VALUE"""),20328)</f>
        <v>20328</v>
      </c>
      <c r="W133" s="70" t="n">
        <f aca="false">IFERROR(__xludf.dummyfunction("""COMPUTED_VALUE"""),132350)</f>
        <v>132350</v>
      </c>
      <c r="X133" s="70" t="n">
        <f aca="false">IFERROR(__xludf.dummyfunction("""COMPUTED_VALUE"""),116232)</f>
        <v>116232</v>
      </c>
      <c r="Y133" s="70" t="n">
        <f aca="false">IFERROR(__xludf.dummyfunction("""COMPUTED_VALUE"""),203826)</f>
        <v>203826</v>
      </c>
      <c r="Z133" s="70" t="n">
        <f aca="false">IFERROR(__xludf.dummyfunction("""COMPUTED_VALUE"""),214725)</f>
        <v>214725</v>
      </c>
      <c r="AA133" s="70" t="n">
        <f aca="false">IFERROR(__xludf.dummyfunction("""COMPUTED_VALUE"""),87882)</f>
        <v>87882</v>
      </c>
      <c r="AB133" s="70" t="n">
        <f aca="false">IFERROR(__xludf.dummyfunction("""COMPUTED_VALUE"""),214378)</f>
        <v>214378</v>
      </c>
      <c r="AC133" s="70" t="n">
        <f aca="false">IFERROR(__xludf.dummyfunction("""COMPUTED_VALUE"""),76391)</f>
        <v>76391</v>
      </c>
      <c r="AD133" s="70" t="n">
        <f aca="false">IFERROR(__xludf.dummyfunction("""COMPUTED_VALUE"""),115863)</f>
        <v>115863</v>
      </c>
      <c r="AE133" s="70" t="n">
        <f aca="false">IFERROR(__xludf.dummyfunction("""COMPUTED_VALUE"""),75038)</f>
        <v>75038</v>
      </c>
      <c r="AF133" s="70" t="n">
        <f aca="false">IFERROR(__xludf.dummyfunction("""COMPUTED_VALUE"""),17744)</f>
        <v>17744</v>
      </c>
      <c r="AG133" s="70" t="n">
        <f aca="false">IFERROR(__xludf.dummyfunction("""COMPUTED_VALUE"""),243647)</f>
        <v>243647</v>
      </c>
      <c r="AH133" s="70" t="n">
        <f aca="false">IFERROR(__xludf.dummyfunction("""COMPUTED_VALUE"""),128060)</f>
        <v>128060</v>
      </c>
      <c r="AI133" s="70" t="n">
        <f aca="false">IFERROR(__xludf.dummyfunction("""COMPUTED_VALUE"""),469628)</f>
        <v>469628</v>
      </c>
      <c r="AJ133" s="70" t="n">
        <f aca="false">IFERROR(__xludf.dummyfunction("""COMPUTED_VALUE"""),436047)</f>
        <v>436047</v>
      </c>
      <c r="AK133" s="70" t="n">
        <f aca="false">IFERROR(__xludf.dummyfunction("""COMPUTED_VALUE"""),72414)</f>
        <v>72414</v>
      </c>
      <c r="AL133" s="70" t="n">
        <f aca="false">IFERROR(__xludf.dummyfunction("""COMPUTED_VALUE"""),630008)</f>
        <v>630008</v>
      </c>
      <c r="AM133" s="70" t="n">
        <f aca="false">IFERROR(__xludf.dummyfunction("""COMPUTED_VALUE"""),229589)</f>
        <v>229589</v>
      </c>
      <c r="AN133" s="70" t="n">
        <f aca="false">IFERROR(__xludf.dummyfunction("""COMPUTED_VALUE"""),168523)</f>
        <v>168523</v>
      </c>
      <c r="AO133" s="70" t="n">
        <f aca="false">IFERROR(__xludf.dummyfunction("""COMPUTED_VALUE"""),626379)</f>
        <v>626379</v>
      </c>
      <c r="AP133" s="70" t="n">
        <f aca="false">IFERROR(__xludf.dummyfunction("""COMPUTED_VALUE"""),6993)</f>
        <v>6993</v>
      </c>
      <c r="AQ133" s="70" t="n">
        <f aca="false">IFERROR(__xludf.dummyfunction("""COMPUTED_VALUE"""),362321)</f>
        <v>362321</v>
      </c>
      <c r="AR133" s="70" t="n">
        <f aca="false">IFERROR(__xludf.dummyfunction("""COMPUTED_VALUE"""),51757)</f>
        <v>51757</v>
      </c>
      <c r="AS133" s="70" t="n">
        <f aca="false">IFERROR(__xludf.dummyfunction("""COMPUTED_VALUE"""),221627)</f>
        <v>221627</v>
      </c>
      <c r="AT133" s="70" t="n">
        <f aca="false">IFERROR(__xludf.dummyfunction("""COMPUTED_VALUE"""),1622561)</f>
        <v>1622561</v>
      </c>
      <c r="AU133" s="70" t="n">
        <f aca="false">IFERROR(__xludf.dummyfunction("""COMPUTED_VALUE"""),100385)</f>
        <v>100385</v>
      </c>
      <c r="AV133" s="70" t="n">
        <f aca="false">IFERROR(__xludf.dummyfunction("""COMPUTED_VALUE"""),3284)</f>
        <v>3284</v>
      </c>
      <c r="AW133" s="70" t="n">
        <f aca="false">IFERROR(__xludf.dummyfunction("""COMPUTED_VALUE"""),245064)</f>
        <v>245064</v>
      </c>
      <c r="AX133" s="70" t="n">
        <f aca="false">IFERROR(__xludf.dummyfunction("""COMPUTED_VALUE"""),255824)</f>
        <v>255824</v>
      </c>
      <c r="AY133" s="70" t="n">
        <f aca="false">IFERROR(__xludf.dummyfunction("""COMPUTED_VALUE"""),39302)</f>
        <v>39302</v>
      </c>
      <c r="AZ133" s="70" t="n">
        <f aca="false">IFERROR(__xludf.dummyfunction("""COMPUTED_VALUE"""),178954)</f>
        <v>178954</v>
      </c>
      <c r="BA133" s="70" t="n">
        <f aca="false">IFERROR(__xludf.dummyfunction("""COMPUTED_VALUE"""),18839)</f>
        <v>18839</v>
      </c>
    </row>
    <row r="134" customFormat="false" ht="15.75" hidden="false" customHeight="false" outlineLevel="0" collapsed="false">
      <c r="A134" s="78" t="str">
        <f aca="false">IFERROR(__xludf.dummyfunction("""COMPUTED_VALUE"""),"deed_book")</f>
        <v>deed_book</v>
      </c>
      <c r="B134" s="72" t="n">
        <f aca="false">IFERROR(__xludf.dummyfunction("""COMPUTED_VALUE"""),0)</f>
        <v>0</v>
      </c>
      <c r="C134" s="73" t="n">
        <f aca="false">IFERROR(__xludf.dummyfunction("""COMPUTED_VALUE"""),0)</f>
        <v>0</v>
      </c>
      <c r="D134" s="70" t="n">
        <f aca="false">IFERROR(__xludf.dummyfunction("""COMPUTED_VALUE"""),0)</f>
        <v>0</v>
      </c>
      <c r="E134" s="70" t="n">
        <f aca="false">IFERROR(__xludf.dummyfunction("""COMPUTED_VALUE"""),0)</f>
        <v>0</v>
      </c>
      <c r="F134" s="70" t="n">
        <f aca="false">IFERROR(__xludf.dummyfunction("""COMPUTED_VALUE"""),0)</f>
        <v>0</v>
      </c>
      <c r="G134" s="70" t="n">
        <f aca="false">IFERROR(__xludf.dummyfunction("""COMPUTED_VALUE"""),0)</f>
        <v>0</v>
      </c>
      <c r="H134" s="70" t="n">
        <f aca="false">IFERROR(__xludf.dummyfunction("""COMPUTED_VALUE"""),0)</f>
        <v>0</v>
      </c>
      <c r="I134" s="70" t="n">
        <f aca="false">IFERROR(__xludf.dummyfunction("""COMPUTED_VALUE"""),0)</f>
        <v>0</v>
      </c>
      <c r="J134" s="70" t="n">
        <f aca="false">IFERROR(__xludf.dummyfunction("""COMPUTED_VALUE"""),0)</f>
        <v>0</v>
      </c>
      <c r="K134" s="70" t="n">
        <f aca="false">IFERROR(__xludf.dummyfunction("""COMPUTED_VALUE"""),0)</f>
        <v>0</v>
      </c>
      <c r="L134" s="70" t="n">
        <f aca="false">IFERROR(__xludf.dummyfunction("""COMPUTED_VALUE"""),0)</f>
        <v>0</v>
      </c>
      <c r="M134" s="70" t="n">
        <f aca="false">IFERROR(__xludf.dummyfunction("""COMPUTED_VALUE"""),0)</f>
        <v>0</v>
      </c>
      <c r="N134" s="70" t="n">
        <f aca="false">IFERROR(__xludf.dummyfunction("""COMPUTED_VALUE"""),0)</f>
        <v>0</v>
      </c>
      <c r="O134" s="70" t="n">
        <f aca="false">IFERROR(__xludf.dummyfunction("""COMPUTED_VALUE"""),0)</f>
        <v>0</v>
      </c>
      <c r="P134" s="70" t="n">
        <f aca="false">IFERROR(__xludf.dummyfunction("""COMPUTED_VALUE"""),0)</f>
        <v>0</v>
      </c>
      <c r="Q134" s="70" t="n">
        <f aca="false">IFERROR(__xludf.dummyfunction("""COMPUTED_VALUE"""),0)</f>
        <v>0</v>
      </c>
      <c r="R134" s="70" t="n">
        <f aca="false">IFERROR(__xludf.dummyfunction("""COMPUTED_VALUE"""),0)</f>
        <v>0</v>
      </c>
      <c r="S134" s="70" t="n">
        <f aca="false">IFERROR(__xludf.dummyfunction("""COMPUTED_VALUE"""),0)</f>
        <v>0</v>
      </c>
      <c r="T134" s="70" t="n">
        <f aca="false">IFERROR(__xludf.dummyfunction("""COMPUTED_VALUE"""),0)</f>
        <v>0</v>
      </c>
      <c r="U134" s="70" t="n">
        <f aca="false">IFERROR(__xludf.dummyfunction("""COMPUTED_VALUE"""),0)</f>
        <v>0</v>
      </c>
      <c r="V134" s="70" t="n">
        <f aca="false">IFERROR(__xludf.dummyfunction("""COMPUTED_VALUE"""),0)</f>
        <v>0</v>
      </c>
      <c r="W134" s="70" t="n">
        <f aca="false">IFERROR(__xludf.dummyfunction("""COMPUTED_VALUE"""),0)</f>
        <v>0</v>
      </c>
      <c r="X134" s="70" t="n">
        <f aca="false">IFERROR(__xludf.dummyfunction("""COMPUTED_VALUE"""),0)</f>
        <v>0</v>
      </c>
      <c r="Y134" s="70" t="n">
        <f aca="false">IFERROR(__xludf.dummyfunction("""COMPUTED_VALUE"""),0)</f>
        <v>0</v>
      </c>
      <c r="Z134" s="70" t="n">
        <f aca="false">IFERROR(__xludf.dummyfunction("""COMPUTED_VALUE"""),0)</f>
        <v>0</v>
      </c>
      <c r="AA134" s="70" t="n">
        <f aca="false">IFERROR(__xludf.dummyfunction("""COMPUTED_VALUE"""),0)</f>
        <v>0</v>
      </c>
      <c r="AB134" s="70" t="n">
        <f aca="false">IFERROR(__xludf.dummyfunction("""COMPUTED_VALUE"""),0)</f>
        <v>0</v>
      </c>
      <c r="AC134" s="70" t="n">
        <f aca="false">IFERROR(__xludf.dummyfunction("""COMPUTED_VALUE"""),0)</f>
        <v>0</v>
      </c>
      <c r="AD134" s="70" t="n">
        <f aca="false">IFERROR(__xludf.dummyfunction("""COMPUTED_VALUE"""),0)</f>
        <v>0</v>
      </c>
      <c r="AE134" s="70" t="n">
        <f aca="false">IFERROR(__xludf.dummyfunction("""COMPUTED_VALUE"""),0)</f>
        <v>0</v>
      </c>
      <c r="AF134" s="70" t="n">
        <f aca="false">IFERROR(__xludf.dummyfunction("""COMPUTED_VALUE"""),0)</f>
        <v>0</v>
      </c>
      <c r="AG134" s="70" t="n">
        <f aca="false">IFERROR(__xludf.dummyfunction("""COMPUTED_VALUE"""),0)</f>
        <v>0</v>
      </c>
      <c r="AH134" s="70" t="n">
        <f aca="false">IFERROR(__xludf.dummyfunction("""COMPUTED_VALUE"""),0)</f>
        <v>0</v>
      </c>
      <c r="AI134" s="70" t="n">
        <f aca="false">IFERROR(__xludf.dummyfunction("""COMPUTED_VALUE"""),0)</f>
        <v>0</v>
      </c>
      <c r="AJ134" s="70" t="n">
        <f aca="false">IFERROR(__xludf.dummyfunction("""COMPUTED_VALUE"""),0)</f>
        <v>0</v>
      </c>
      <c r="AK134" s="70" t="n">
        <f aca="false">IFERROR(__xludf.dummyfunction("""COMPUTED_VALUE"""),0)</f>
        <v>0</v>
      </c>
      <c r="AL134" s="70" t="n">
        <f aca="false">IFERROR(__xludf.dummyfunction("""COMPUTED_VALUE"""),0)</f>
        <v>0</v>
      </c>
      <c r="AM134" s="70" t="n">
        <f aca="false">IFERROR(__xludf.dummyfunction("""COMPUTED_VALUE"""),0)</f>
        <v>0</v>
      </c>
      <c r="AN134" s="70" t="n">
        <f aca="false">IFERROR(__xludf.dummyfunction("""COMPUTED_VALUE"""),0)</f>
        <v>0</v>
      </c>
      <c r="AO134" s="70" t="n">
        <f aca="false">IFERROR(__xludf.dummyfunction("""COMPUTED_VALUE"""),0)</f>
        <v>0</v>
      </c>
      <c r="AP134" s="70" t="n">
        <f aca="false">IFERROR(__xludf.dummyfunction("""COMPUTED_VALUE"""),0)</f>
        <v>0</v>
      </c>
      <c r="AQ134" s="70" t="n">
        <f aca="false">IFERROR(__xludf.dummyfunction("""COMPUTED_VALUE"""),0)</f>
        <v>0</v>
      </c>
      <c r="AR134" s="70" t="n">
        <f aca="false">IFERROR(__xludf.dummyfunction("""COMPUTED_VALUE"""),0)</f>
        <v>0</v>
      </c>
      <c r="AS134" s="70" t="n">
        <f aca="false">IFERROR(__xludf.dummyfunction("""COMPUTED_VALUE"""),0)</f>
        <v>0</v>
      </c>
      <c r="AT134" s="70" t="n">
        <f aca="false">IFERROR(__xludf.dummyfunction("""COMPUTED_VALUE"""),0)</f>
        <v>0</v>
      </c>
      <c r="AU134" s="70" t="n">
        <f aca="false">IFERROR(__xludf.dummyfunction("""COMPUTED_VALUE"""),0)</f>
        <v>0</v>
      </c>
      <c r="AV134" s="70" t="n">
        <f aca="false">IFERROR(__xludf.dummyfunction("""COMPUTED_VALUE"""),0)</f>
        <v>0</v>
      </c>
      <c r="AW134" s="70" t="n">
        <f aca="false">IFERROR(__xludf.dummyfunction("""COMPUTED_VALUE"""),0)</f>
        <v>0</v>
      </c>
      <c r="AX134" s="70" t="n">
        <f aca="false">IFERROR(__xludf.dummyfunction("""COMPUTED_VALUE"""),0)</f>
        <v>0</v>
      </c>
      <c r="AY134" s="70" t="n">
        <f aca="false">IFERROR(__xludf.dummyfunction("""COMPUTED_VALUE"""),0)</f>
        <v>0</v>
      </c>
      <c r="AZ134" s="70" t="n">
        <f aca="false">IFERROR(__xludf.dummyfunction("""COMPUTED_VALUE"""),0)</f>
        <v>0</v>
      </c>
      <c r="BA134" s="70" t="n">
        <f aca="false">IFERROR(__xludf.dummyfunction("""COMPUTED_VALUE"""),0)</f>
        <v>0</v>
      </c>
    </row>
    <row r="135" customFormat="false" ht="15.75" hidden="false" customHeight="false" outlineLevel="0" collapsed="false">
      <c r="A135" s="78" t="str">
        <f aca="false">IFERROR(__xludf.dummyfunction("""COMPUTED_VALUE"""),"deed_page")</f>
        <v>deed_page</v>
      </c>
      <c r="B135" s="72" t="n">
        <f aca="false">IFERROR(__xludf.dummyfunction("""COMPUTED_VALUE"""),0)</f>
        <v>0</v>
      </c>
      <c r="C135" s="82" t="n">
        <f aca="false">IFERROR(__xludf.dummyfunction("""COMPUTED_VALUE"""),0)</f>
        <v>0</v>
      </c>
      <c r="D135" s="83" t="n">
        <f aca="false">IFERROR(__xludf.dummyfunction("""COMPUTED_VALUE"""),0)</f>
        <v>0</v>
      </c>
      <c r="E135" s="84" t="n">
        <f aca="false">IFERROR(__xludf.dummyfunction("""COMPUTED_VALUE"""),0)</f>
        <v>0</v>
      </c>
      <c r="F135" s="84" t="n">
        <f aca="false">IFERROR(__xludf.dummyfunction("""COMPUTED_VALUE"""),0)</f>
        <v>0</v>
      </c>
      <c r="G135" s="84" t="n">
        <f aca="false">IFERROR(__xludf.dummyfunction("""COMPUTED_VALUE"""),0)</f>
        <v>0</v>
      </c>
      <c r="H135" s="84" t="n">
        <f aca="false">IFERROR(__xludf.dummyfunction("""COMPUTED_VALUE"""),0)</f>
        <v>0</v>
      </c>
      <c r="I135" s="84" t="n">
        <f aca="false">IFERROR(__xludf.dummyfunction("""COMPUTED_VALUE"""),0)</f>
        <v>0</v>
      </c>
      <c r="J135" s="84" t="n">
        <f aca="false">IFERROR(__xludf.dummyfunction("""COMPUTED_VALUE"""),0)</f>
        <v>0</v>
      </c>
      <c r="K135" s="84" t="n">
        <f aca="false">IFERROR(__xludf.dummyfunction("""COMPUTED_VALUE"""),0)</f>
        <v>0</v>
      </c>
      <c r="L135" s="84" t="n">
        <f aca="false">IFERROR(__xludf.dummyfunction("""COMPUTED_VALUE"""),0)</f>
        <v>0</v>
      </c>
      <c r="M135" s="84" t="n">
        <f aca="false">IFERROR(__xludf.dummyfunction("""COMPUTED_VALUE"""),0)</f>
        <v>0</v>
      </c>
      <c r="N135" s="84" t="n">
        <f aca="false">IFERROR(__xludf.dummyfunction("""COMPUTED_VALUE"""),0)</f>
        <v>0</v>
      </c>
      <c r="O135" s="84" t="n">
        <f aca="false">IFERROR(__xludf.dummyfunction("""COMPUTED_VALUE"""),0)</f>
        <v>0</v>
      </c>
      <c r="P135" s="84" t="n">
        <f aca="false">IFERROR(__xludf.dummyfunction("""COMPUTED_VALUE"""),0)</f>
        <v>0</v>
      </c>
      <c r="Q135" s="84" t="n">
        <f aca="false">IFERROR(__xludf.dummyfunction("""COMPUTED_VALUE"""),0)</f>
        <v>0</v>
      </c>
      <c r="R135" s="84" t="n">
        <f aca="false">IFERROR(__xludf.dummyfunction("""COMPUTED_VALUE"""),0)</f>
        <v>0</v>
      </c>
      <c r="S135" s="84" t="n">
        <f aca="false">IFERROR(__xludf.dummyfunction("""COMPUTED_VALUE"""),0)</f>
        <v>0</v>
      </c>
      <c r="T135" s="84" t="n">
        <f aca="false">IFERROR(__xludf.dummyfunction("""COMPUTED_VALUE"""),0)</f>
        <v>0</v>
      </c>
      <c r="U135" s="84" t="n">
        <f aca="false">IFERROR(__xludf.dummyfunction("""COMPUTED_VALUE"""),0)</f>
        <v>0</v>
      </c>
      <c r="V135" s="84" t="n">
        <f aca="false">IFERROR(__xludf.dummyfunction("""COMPUTED_VALUE"""),0)</f>
        <v>0</v>
      </c>
      <c r="W135" s="84" t="n">
        <f aca="false">IFERROR(__xludf.dummyfunction("""COMPUTED_VALUE"""),0)</f>
        <v>0</v>
      </c>
      <c r="X135" s="84" t="n">
        <f aca="false">IFERROR(__xludf.dummyfunction("""COMPUTED_VALUE"""),0)</f>
        <v>0</v>
      </c>
      <c r="Y135" s="84" t="n">
        <f aca="false">IFERROR(__xludf.dummyfunction("""COMPUTED_VALUE"""),0)</f>
        <v>0</v>
      </c>
      <c r="Z135" s="84" t="n">
        <f aca="false">IFERROR(__xludf.dummyfunction("""COMPUTED_VALUE"""),0)</f>
        <v>0</v>
      </c>
      <c r="AA135" s="84" t="n">
        <f aca="false">IFERROR(__xludf.dummyfunction("""COMPUTED_VALUE"""),0)</f>
        <v>0</v>
      </c>
      <c r="AB135" s="84" t="n">
        <f aca="false">IFERROR(__xludf.dummyfunction("""COMPUTED_VALUE"""),0)</f>
        <v>0</v>
      </c>
      <c r="AC135" s="84" t="n">
        <f aca="false">IFERROR(__xludf.dummyfunction("""COMPUTED_VALUE"""),0)</f>
        <v>0</v>
      </c>
      <c r="AD135" s="84" t="n">
        <f aca="false">IFERROR(__xludf.dummyfunction("""COMPUTED_VALUE"""),0)</f>
        <v>0</v>
      </c>
      <c r="AE135" s="84" t="n">
        <f aca="false">IFERROR(__xludf.dummyfunction("""COMPUTED_VALUE"""),0)</f>
        <v>0</v>
      </c>
      <c r="AF135" s="84" t="n">
        <f aca="false">IFERROR(__xludf.dummyfunction("""COMPUTED_VALUE"""),0)</f>
        <v>0</v>
      </c>
      <c r="AG135" s="84" t="n">
        <f aca="false">IFERROR(__xludf.dummyfunction("""COMPUTED_VALUE"""),0)</f>
        <v>0</v>
      </c>
      <c r="AH135" s="84" t="n">
        <f aca="false">IFERROR(__xludf.dummyfunction("""COMPUTED_VALUE"""),0)</f>
        <v>0</v>
      </c>
      <c r="AI135" s="84" t="n">
        <f aca="false">IFERROR(__xludf.dummyfunction("""COMPUTED_VALUE"""),0)</f>
        <v>0</v>
      </c>
      <c r="AJ135" s="84" t="n">
        <f aca="false">IFERROR(__xludf.dummyfunction("""COMPUTED_VALUE"""),0)</f>
        <v>0</v>
      </c>
      <c r="AK135" s="84" t="n">
        <f aca="false">IFERROR(__xludf.dummyfunction("""COMPUTED_VALUE"""),0)</f>
        <v>0</v>
      </c>
      <c r="AL135" s="84" t="n">
        <f aca="false">IFERROR(__xludf.dummyfunction("""COMPUTED_VALUE"""),0)</f>
        <v>0</v>
      </c>
      <c r="AM135" s="84" t="n">
        <f aca="false">IFERROR(__xludf.dummyfunction("""COMPUTED_VALUE"""),0)</f>
        <v>0</v>
      </c>
      <c r="AN135" s="84" t="n">
        <f aca="false">IFERROR(__xludf.dummyfunction("""COMPUTED_VALUE"""),0)</f>
        <v>0</v>
      </c>
      <c r="AO135" s="84" t="n">
        <f aca="false">IFERROR(__xludf.dummyfunction("""COMPUTED_VALUE"""),0)</f>
        <v>0</v>
      </c>
      <c r="AP135" s="84" t="n">
        <f aca="false">IFERROR(__xludf.dummyfunction("""COMPUTED_VALUE"""),0)</f>
        <v>0</v>
      </c>
      <c r="AQ135" s="84" t="n">
        <f aca="false">IFERROR(__xludf.dummyfunction("""COMPUTED_VALUE"""),0)</f>
        <v>0</v>
      </c>
      <c r="AR135" s="84" t="n">
        <f aca="false">IFERROR(__xludf.dummyfunction("""COMPUTED_VALUE"""),0)</f>
        <v>0</v>
      </c>
      <c r="AS135" s="84" t="n">
        <f aca="false">IFERROR(__xludf.dummyfunction("""COMPUTED_VALUE"""),0)</f>
        <v>0</v>
      </c>
      <c r="AT135" s="84" t="n">
        <f aca="false">IFERROR(__xludf.dummyfunction("""COMPUTED_VALUE"""),0)</f>
        <v>0</v>
      </c>
      <c r="AU135" s="84" t="n">
        <f aca="false">IFERROR(__xludf.dummyfunction("""COMPUTED_VALUE"""),0)</f>
        <v>0</v>
      </c>
      <c r="AV135" s="84" t="n">
        <f aca="false">IFERROR(__xludf.dummyfunction("""COMPUTED_VALUE"""),0)</f>
        <v>0</v>
      </c>
      <c r="AW135" s="84" t="n">
        <f aca="false">IFERROR(__xludf.dummyfunction("""COMPUTED_VALUE"""),0)</f>
        <v>0</v>
      </c>
      <c r="AX135" s="84" t="n">
        <f aca="false">IFERROR(__xludf.dummyfunction("""COMPUTED_VALUE"""),0)</f>
        <v>0</v>
      </c>
      <c r="AY135" s="84" t="n">
        <f aca="false">IFERROR(__xludf.dummyfunction("""COMPUTED_VALUE"""),0)</f>
        <v>0</v>
      </c>
      <c r="AZ135" s="84" t="n">
        <f aca="false">IFERROR(__xludf.dummyfunction("""COMPUTED_VALUE"""),0)</f>
        <v>0</v>
      </c>
      <c r="BA135" s="84" t="n">
        <f aca="false">IFERROR(__xludf.dummyfunction("""COMPUTED_VALUE"""),0)</f>
        <v>0</v>
      </c>
    </row>
    <row r="136" customFormat="false" ht="15.75" hidden="false" customHeight="false" outlineLevel="0" collapsed="false">
      <c r="A136" s="78" t="str">
        <f aca="false">IFERROR(__xludf.dummyfunction("""COMPUTED_VALUE"""),"document_id")</f>
        <v>document_id</v>
      </c>
      <c r="B136" s="72" t="n">
        <f aca="false">IFERROR(__xludf.dummyfunction("""COMPUTED_VALUE"""),0)</f>
        <v>0</v>
      </c>
      <c r="C136" s="82" t="n">
        <f aca="false">IFERROR(__xludf.dummyfunction("""COMPUTED_VALUE"""),0)</f>
        <v>0</v>
      </c>
      <c r="D136" s="83" t="n">
        <f aca="false">IFERROR(__xludf.dummyfunction("""COMPUTED_VALUE"""),0)</f>
        <v>0</v>
      </c>
      <c r="E136" s="84" t="n">
        <f aca="false">IFERROR(__xludf.dummyfunction("""COMPUTED_VALUE"""),0)</f>
        <v>0</v>
      </c>
      <c r="F136" s="84" t="n">
        <f aca="false">IFERROR(__xludf.dummyfunction("""COMPUTED_VALUE"""),0)</f>
        <v>0</v>
      </c>
      <c r="G136" s="84" t="n">
        <f aca="false">IFERROR(__xludf.dummyfunction("""COMPUTED_VALUE"""),0)</f>
        <v>0</v>
      </c>
      <c r="H136" s="84" t="n">
        <f aca="false">IFERROR(__xludf.dummyfunction("""COMPUTED_VALUE"""),0)</f>
        <v>0</v>
      </c>
      <c r="I136" s="84" t="n">
        <f aca="false">IFERROR(__xludf.dummyfunction("""COMPUTED_VALUE"""),0)</f>
        <v>0</v>
      </c>
      <c r="J136" s="84" t="n">
        <f aca="false">IFERROR(__xludf.dummyfunction("""COMPUTED_VALUE"""),0)</f>
        <v>0</v>
      </c>
      <c r="K136" s="84" t="n">
        <f aca="false">IFERROR(__xludf.dummyfunction("""COMPUTED_VALUE"""),0)</f>
        <v>0</v>
      </c>
      <c r="L136" s="84" t="n">
        <f aca="false">IFERROR(__xludf.dummyfunction("""COMPUTED_VALUE"""),0)</f>
        <v>0</v>
      </c>
      <c r="M136" s="84" t="n">
        <f aca="false">IFERROR(__xludf.dummyfunction("""COMPUTED_VALUE"""),0)</f>
        <v>0</v>
      </c>
      <c r="N136" s="84" t="n">
        <f aca="false">IFERROR(__xludf.dummyfunction("""COMPUTED_VALUE"""),0)</f>
        <v>0</v>
      </c>
      <c r="O136" s="84" t="n">
        <f aca="false">IFERROR(__xludf.dummyfunction("""COMPUTED_VALUE"""),0)</f>
        <v>0</v>
      </c>
      <c r="P136" s="84" t="n">
        <f aca="false">IFERROR(__xludf.dummyfunction("""COMPUTED_VALUE"""),0)</f>
        <v>0</v>
      </c>
      <c r="Q136" s="84" t="n">
        <f aca="false">IFERROR(__xludf.dummyfunction("""COMPUTED_VALUE"""),0)</f>
        <v>0</v>
      </c>
      <c r="R136" s="84" t="n">
        <f aca="false">IFERROR(__xludf.dummyfunction("""COMPUTED_VALUE"""),0)</f>
        <v>0</v>
      </c>
      <c r="S136" s="84" t="n">
        <f aca="false">IFERROR(__xludf.dummyfunction("""COMPUTED_VALUE"""),0)</f>
        <v>0</v>
      </c>
      <c r="T136" s="84" t="n">
        <f aca="false">IFERROR(__xludf.dummyfunction("""COMPUTED_VALUE"""),0)</f>
        <v>0</v>
      </c>
      <c r="U136" s="84" t="n">
        <f aca="false">IFERROR(__xludf.dummyfunction("""COMPUTED_VALUE"""),0)</f>
        <v>0</v>
      </c>
      <c r="V136" s="84" t="n">
        <f aca="false">IFERROR(__xludf.dummyfunction("""COMPUTED_VALUE"""),0)</f>
        <v>0</v>
      </c>
      <c r="W136" s="84" t="n">
        <f aca="false">IFERROR(__xludf.dummyfunction("""COMPUTED_VALUE"""),0)</f>
        <v>0</v>
      </c>
      <c r="X136" s="84" t="n">
        <f aca="false">IFERROR(__xludf.dummyfunction("""COMPUTED_VALUE"""),0)</f>
        <v>0</v>
      </c>
      <c r="Y136" s="84" t="n">
        <f aca="false">IFERROR(__xludf.dummyfunction("""COMPUTED_VALUE"""),0)</f>
        <v>0</v>
      </c>
      <c r="Z136" s="84" t="n">
        <f aca="false">IFERROR(__xludf.dummyfunction("""COMPUTED_VALUE"""),0)</f>
        <v>0</v>
      </c>
      <c r="AA136" s="84" t="n">
        <f aca="false">IFERROR(__xludf.dummyfunction("""COMPUTED_VALUE"""),0)</f>
        <v>0</v>
      </c>
      <c r="AB136" s="84" t="n">
        <f aca="false">IFERROR(__xludf.dummyfunction("""COMPUTED_VALUE"""),0)</f>
        <v>0</v>
      </c>
      <c r="AC136" s="84" t="n">
        <f aca="false">IFERROR(__xludf.dummyfunction("""COMPUTED_VALUE"""),0)</f>
        <v>0</v>
      </c>
      <c r="AD136" s="84" t="n">
        <f aca="false">IFERROR(__xludf.dummyfunction("""COMPUTED_VALUE"""),0)</f>
        <v>0</v>
      </c>
      <c r="AE136" s="84" t="n">
        <f aca="false">IFERROR(__xludf.dummyfunction("""COMPUTED_VALUE"""),0)</f>
        <v>0</v>
      </c>
      <c r="AF136" s="84" t="n">
        <f aca="false">IFERROR(__xludf.dummyfunction("""COMPUTED_VALUE"""),0)</f>
        <v>0</v>
      </c>
      <c r="AG136" s="84" t="n">
        <f aca="false">IFERROR(__xludf.dummyfunction("""COMPUTED_VALUE"""),0)</f>
        <v>0</v>
      </c>
      <c r="AH136" s="84" t="n">
        <f aca="false">IFERROR(__xludf.dummyfunction("""COMPUTED_VALUE"""),0)</f>
        <v>0</v>
      </c>
      <c r="AI136" s="84" t="n">
        <f aca="false">IFERROR(__xludf.dummyfunction("""COMPUTED_VALUE"""),0)</f>
        <v>0</v>
      </c>
      <c r="AJ136" s="84" t="n">
        <f aca="false">IFERROR(__xludf.dummyfunction("""COMPUTED_VALUE"""),0)</f>
        <v>0</v>
      </c>
      <c r="AK136" s="84" t="n">
        <f aca="false">IFERROR(__xludf.dummyfunction("""COMPUTED_VALUE"""),0)</f>
        <v>0</v>
      </c>
      <c r="AL136" s="84" t="n">
        <f aca="false">IFERROR(__xludf.dummyfunction("""COMPUTED_VALUE"""),0)</f>
        <v>0</v>
      </c>
      <c r="AM136" s="84" t="n">
        <f aca="false">IFERROR(__xludf.dummyfunction("""COMPUTED_VALUE"""),0)</f>
        <v>0</v>
      </c>
      <c r="AN136" s="84" t="n">
        <f aca="false">IFERROR(__xludf.dummyfunction("""COMPUTED_VALUE"""),0)</f>
        <v>0</v>
      </c>
      <c r="AO136" s="84" t="n">
        <f aca="false">IFERROR(__xludf.dummyfunction("""COMPUTED_VALUE"""),0)</f>
        <v>0</v>
      </c>
      <c r="AP136" s="84" t="n">
        <f aca="false">IFERROR(__xludf.dummyfunction("""COMPUTED_VALUE"""),0)</f>
        <v>0</v>
      </c>
      <c r="AQ136" s="84" t="n">
        <f aca="false">IFERROR(__xludf.dummyfunction("""COMPUTED_VALUE"""),0)</f>
        <v>0</v>
      </c>
      <c r="AR136" s="84" t="n">
        <f aca="false">IFERROR(__xludf.dummyfunction("""COMPUTED_VALUE"""),0)</f>
        <v>0</v>
      </c>
      <c r="AS136" s="84" t="n">
        <f aca="false">IFERROR(__xludf.dummyfunction("""COMPUTED_VALUE"""),0)</f>
        <v>0</v>
      </c>
      <c r="AT136" s="84" t="n">
        <f aca="false">IFERROR(__xludf.dummyfunction("""COMPUTED_VALUE"""),0)</f>
        <v>0</v>
      </c>
      <c r="AU136" s="84" t="n">
        <f aca="false">IFERROR(__xludf.dummyfunction("""COMPUTED_VALUE"""),0)</f>
        <v>0</v>
      </c>
      <c r="AV136" s="84" t="n">
        <f aca="false">IFERROR(__xludf.dummyfunction("""COMPUTED_VALUE"""),0)</f>
        <v>0</v>
      </c>
      <c r="AW136" s="84" t="n">
        <f aca="false">IFERROR(__xludf.dummyfunction("""COMPUTED_VALUE"""),0)</f>
        <v>0</v>
      </c>
      <c r="AX136" s="84" t="n">
        <f aca="false">IFERROR(__xludf.dummyfunction("""COMPUTED_VALUE"""),0)</f>
        <v>0</v>
      </c>
      <c r="AY136" s="84" t="n">
        <f aca="false">IFERROR(__xludf.dummyfunction("""COMPUTED_VALUE"""),0)</f>
        <v>0</v>
      </c>
      <c r="AZ136" s="84" t="n">
        <f aca="false">IFERROR(__xludf.dummyfunction("""COMPUTED_VALUE"""),0)</f>
        <v>0</v>
      </c>
      <c r="BA136" s="84" t="n">
        <f aca="false">IFERROR(__xludf.dummyfunction("""COMPUTED_VALUE"""),0)</f>
        <v>0</v>
      </c>
    </row>
    <row r="137" customFormat="false" ht="15.75" hidden="false" customHeight="false" outlineLevel="0" collapsed="false">
      <c r="A137" s="78" t="str">
        <f aca="false">IFERROR(__xludf.dummyfunction("""COMPUTED_VALUE"""),"sale_price")</f>
        <v>sale_price</v>
      </c>
      <c r="B137" s="72" t="n">
        <f aca="false">IFERROR(__xludf.dummyfunction("""COMPUTED_VALUE"""),8915248)</f>
        <v>8915248</v>
      </c>
      <c r="C137" s="82" t="n">
        <f aca="false">IFERROR(__xludf.dummyfunction("""COMPUTED_VALUE"""),148903)</f>
        <v>148903</v>
      </c>
      <c r="D137" s="83" t="n">
        <f aca="false">IFERROR(__xludf.dummyfunction("""COMPUTED_VALUE"""),7948)</f>
        <v>7948</v>
      </c>
      <c r="E137" s="84" t="n">
        <f aca="false">IFERROR(__xludf.dummyfunction("""COMPUTED_VALUE"""),290471)</f>
        <v>290471</v>
      </c>
      <c r="F137" s="84" t="n">
        <f aca="false">IFERROR(__xludf.dummyfunction("""COMPUTED_VALUE"""),319208)</f>
        <v>319208</v>
      </c>
      <c r="G137" s="84" t="n">
        <f aca="false">IFERROR(__xludf.dummyfunction("""COMPUTED_VALUE"""),652712)</f>
        <v>652712</v>
      </c>
      <c r="H137" s="84" t="n">
        <f aca="false">IFERROR(__xludf.dummyfunction("""COMPUTED_VALUE"""),191669)</f>
        <v>191669</v>
      </c>
      <c r="I137" s="84" t="n">
        <f aca="false">IFERROR(__xludf.dummyfunction("""COMPUTED_VALUE"""),41927)</f>
        <v>41927</v>
      </c>
      <c r="J137" s="84" t="n">
        <f aca="false">IFERROR(__xludf.dummyfunction("""COMPUTED_VALUE"""),23500)</f>
        <v>23500</v>
      </c>
      <c r="K137" s="84" t="n">
        <f aca="false">IFERROR(__xludf.dummyfunction("""COMPUTED_VALUE"""),17389)</f>
        <v>17389</v>
      </c>
      <c r="L137" s="84" t="n">
        <f aca="false">IFERROR(__xludf.dummyfunction("""COMPUTED_VALUE"""),1112384)</f>
        <v>1112384</v>
      </c>
      <c r="M137" s="84" t="n">
        <f aca="false">IFERROR(__xludf.dummyfunction("""COMPUTED_VALUE"""),214604)</f>
        <v>214604</v>
      </c>
      <c r="N137" s="84" t="n">
        <f aca="false">IFERROR(__xludf.dummyfunction("""COMPUTED_VALUE"""),50736)</f>
        <v>50736</v>
      </c>
      <c r="O137" s="84" t="n">
        <f aca="false">IFERROR(__xludf.dummyfunction("""COMPUTED_VALUE"""),15952)</f>
        <v>15952</v>
      </c>
      <c r="P137" s="84" t="n">
        <f aca="false">IFERROR(__xludf.dummyfunction("""COMPUTED_VALUE"""),329051)</f>
        <v>329051</v>
      </c>
      <c r="Q137" s="84" t="n">
        <f aca="false">IFERROR(__xludf.dummyfunction("""COMPUTED_VALUE"""),89012)</f>
        <v>89012</v>
      </c>
      <c r="R137" s="84" t="n">
        <f aca="false">IFERROR(__xludf.dummyfunction("""COMPUTED_VALUE"""),115496)</f>
        <v>115496</v>
      </c>
      <c r="S137" s="84" t="n">
        <f aca="false">IFERROR(__xludf.dummyfunction("""COMPUTED_VALUE"""),162670)</f>
        <v>162670</v>
      </c>
      <c r="T137" s="84" t="n">
        <f aca="false">IFERROR(__xludf.dummyfunction("""COMPUTED_VALUE"""),131564)</f>
        <v>131564</v>
      </c>
      <c r="U137" s="84" t="n">
        <f aca="false">IFERROR(__xludf.dummyfunction("""COMPUTED_VALUE"""),148413)</f>
        <v>148413</v>
      </c>
      <c r="V137" s="84" t="n">
        <f aca="false">IFERROR(__xludf.dummyfunction("""COMPUTED_VALUE"""),7358)</f>
        <v>7358</v>
      </c>
      <c r="W137" s="84" t="n">
        <f aca="false">IFERROR(__xludf.dummyfunction("""COMPUTED_VALUE"""),108514)</f>
        <v>108514</v>
      </c>
      <c r="X137" s="84" t="n">
        <f aca="false">IFERROR(__xludf.dummyfunction("""COMPUTED_VALUE"""),100466)</f>
        <v>100466</v>
      </c>
      <c r="Y137" s="84" t="n">
        <f aca="false">IFERROR(__xludf.dummyfunction("""COMPUTED_VALUE"""),183343)</f>
        <v>183343</v>
      </c>
      <c r="Z137" s="84" t="n">
        <f aca="false">IFERROR(__xludf.dummyfunction("""COMPUTED_VALUE"""),199370)</f>
        <v>199370</v>
      </c>
      <c r="AA137" s="84" t="n">
        <f aca="false">IFERROR(__xludf.dummyfunction("""COMPUTED_VALUE"""),14957)</f>
        <v>14957</v>
      </c>
      <c r="AB137" s="84" t="n">
        <f aca="false">IFERROR(__xludf.dummyfunction("""COMPUTED_VALUE"""),50531)</f>
        <v>50531</v>
      </c>
      <c r="AC137" s="84" t="n">
        <f aca="false">IFERROR(__xludf.dummyfunction("""COMPUTED_VALUE"""),12928)</f>
        <v>12928</v>
      </c>
      <c r="AD137" s="84" t="n">
        <f aca="false">IFERROR(__xludf.dummyfunction("""COMPUTED_VALUE"""),96519)</f>
        <v>96519</v>
      </c>
      <c r="AE137" s="84" t="n">
        <f aca="false">IFERROR(__xludf.dummyfunction("""COMPUTED_VALUE"""),71031)</f>
        <v>71031</v>
      </c>
      <c r="AF137" s="84" t="n">
        <f aca="false">IFERROR(__xludf.dummyfunction("""COMPUTED_VALUE"""),19198)</f>
        <v>19198</v>
      </c>
      <c r="AG137" s="84" t="n">
        <f aca="false">IFERROR(__xludf.dummyfunction("""COMPUTED_VALUE"""),196747)</f>
        <v>196747</v>
      </c>
      <c r="AH137" s="84" t="n">
        <f aca="false">IFERROR(__xludf.dummyfunction("""COMPUTED_VALUE"""),16455)</f>
        <v>16455</v>
      </c>
      <c r="AI137" s="84" t="n">
        <f aca="false">IFERROR(__xludf.dummyfunction("""COMPUTED_VALUE"""),387863)</f>
        <v>387863</v>
      </c>
      <c r="AJ137" s="84" t="n">
        <f aca="false">IFERROR(__xludf.dummyfunction("""COMPUTED_VALUE"""),360077)</f>
        <v>360077</v>
      </c>
      <c r="AK137" s="84" t="n">
        <f aca="false">IFERROR(__xludf.dummyfunction("""COMPUTED_VALUE"""),31284)</f>
        <v>31284</v>
      </c>
      <c r="AL137" s="84" t="n">
        <f aca="false">IFERROR(__xludf.dummyfunction("""COMPUTED_VALUE"""),637616)</f>
        <v>637616</v>
      </c>
      <c r="AM137" s="84" t="n">
        <f aca="false">IFERROR(__xludf.dummyfunction("""COMPUTED_VALUE"""),172085)</f>
        <v>172085</v>
      </c>
      <c r="AN137" s="84" t="n">
        <f aca="false">IFERROR(__xludf.dummyfunction("""COMPUTED_VALUE"""),154381)</f>
        <v>154381</v>
      </c>
      <c r="AO137" s="84" t="n">
        <f aca="false">IFERROR(__xludf.dummyfunction("""COMPUTED_VALUE"""),502535)</f>
        <v>502535</v>
      </c>
      <c r="AP137" s="84" t="n">
        <f aca="false">IFERROR(__xludf.dummyfunction("""COMPUTED_VALUE"""),12883)</f>
        <v>12883</v>
      </c>
      <c r="AQ137" s="84" t="n">
        <f aca="false">IFERROR(__xludf.dummyfunction("""COMPUTED_VALUE"""),235835)</f>
        <v>235835</v>
      </c>
      <c r="AR137" s="84" t="n">
        <f aca="false">IFERROR(__xludf.dummyfunction("""COMPUTED_VALUE"""),27235)</f>
        <v>27235</v>
      </c>
      <c r="AS137" s="84" t="n">
        <f aca="false">IFERROR(__xludf.dummyfunction("""COMPUTED_VALUE"""),203992)</f>
        <v>203992</v>
      </c>
      <c r="AT137" s="84" t="n">
        <f aca="false">IFERROR(__xludf.dummyfunction("""COMPUTED_VALUE"""),281814)</f>
        <v>281814</v>
      </c>
      <c r="AU137" s="84" t="n">
        <f aca="false">IFERROR(__xludf.dummyfunction("""COMPUTED_VALUE"""),22397)</f>
        <v>22397</v>
      </c>
      <c r="AV137" s="84" t="n">
        <f aca="false">IFERROR(__xludf.dummyfunction("""COMPUTED_VALUE"""),9025)</f>
        <v>9025</v>
      </c>
      <c r="AW137" s="84" t="n">
        <f aca="false">IFERROR(__xludf.dummyfunction("""COMPUTED_VALUE"""),190835)</f>
        <v>190835</v>
      </c>
      <c r="AX137" s="84" t="n">
        <f aca="false">IFERROR(__xludf.dummyfunction("""COMPUTED_VALUE"""),223663)</f>
        <v>223663</v>
      </c>
      <c r="AY137" s="84" t="n">
        <f aca="false">IFERROR(__xludf.dummyfunction("""COMPUTED_VALUE"""),117751)</f>
        <v>117751</v>
      </c>
      <c r="AZ137" s="84" t="n">
        <f aca="false">IFERROR(__xludf.dummyfunction("""COMPUTED_VALUE"""),199071)</f>
        <v>199071</v>
      </c>
      <c r="BA137" s="84" t="n">
        <f aca="false">IFERROR(__xludf.dummyfunction("""COMPUTED_VALUE"""),3880)</f>
        <v>3880</v>
      </c>
    </row>
    <row r="138" customFormat="false" ht="15.75" hidden="false" customHeight="false" outlineLevel="0" collapsed="false">
      <c r="A138" s="78" t="str">
        <f aca="false">IFERROR(__xludf.dummyfunction("""COMPUTED_VALUE"""),"sale_price_description")</f>
        <v>sale_price_description</v>
      </c>
      <c r="B138" s="72" t="n">
        <f aca="false">IFERROR(__xludf.dummyfunction("""COMPUTED_VALUE"""),1929304)</f>
        <v>1929304</v>
      </c>
      <c r="C138" s="82" t="n">
        <f aca="false">IFERROR(__xludf.dummyfunction("""COMPUTED_VALUE"""),2541)</f>
        <v>2541</v>
      </c>
      <c r="D138" s="83" t="n">
        <f aca="false">IFERROR(__xludf.dummyfunction("""COMPUTED_VALUE"""),9096)</f>
        <v>9096</v>
      </c>
      <c r="E138" s="84" t="n">
        <f aca="false">IFERROR(__xludf.dummyfunction("""COMPUTED_VALUE"""),13883)</f>
        <v>13883</v>
      </c>
      <c r="F138" s="84" t="n">
        <f aca="false">IFERROR(__xludf.dummyfunction("""COMPUTED_VALUE"""),0)</f>
        <v>0</v>
      </c>
      <c r="G138" s="84" t="n">
        <f aca="false">IFERROR(__xludf.dummyfunction("""COMPUTED_VALUE"""),1045799)</f>
        <v>1045799</v>
      </c>
      <c r="H138" s="84" t="n">
        <f aca="false">IFERROR(__xludf.dummyfunction("""COMPUTED_VALUE"""),14611)</f>
        <v>14611</v>
      </c>
      <c r="I138" s="84" t="n">
        <f aca="false">IFERROR(__xludf.dummyfunction("""COMPUTED_VALUE"""),21266)</f>
        <v>21266</v>
      </c>
      <c r="J138" s="84" t="n">
        <f aca="false">IFERROR(__xludf.dummyfunction("""COMPUTED_VALUE"""),558)</f>
        <v>558</v>
      </c>
      <c r="K138" s="84" t="n">
        <f aca="false">IFERROR(__xludf.dummyfunction("""COMPUTED_VALUE"""),614)</f>
        <v>614</v>
      </c>
      <c r="L138" s="84" t="n">
        <f aca="false">IFERROR(__xludf.dummyfunction("""COMPUTED_VALUE"""),89540)</f>
        <v>89540</v>
      </c>
      <c r="M138" s="84" t="n">
        <f aca="false">IFERROR(__xludf.dummyfunction("""COMPUTED_VALUE"""),1806)</f>
        <v>1806</v>
      </c>
      <c r="N138" s="84" t="n">
        <f aca="false">IFERROR(__xludf.dummyfunction("""COMPUTED_VALUE"""),502)</f>
        <v>502</v>
      </c>
      <c r="O138" s="84" t="n">
        <f aca="false">IFERROR(__xludf.dummyfunction("""COMPUTED_VALUE"""),17050)</f>
        <v>17050</v>
      </c>
      <c r="P138" s="84" t="n">
        <f aca="false">IFERROR(__xludf.dummyfunction("""COMPUTED_VALUE"""),5057)</f>
        <v>5057</v>
      </c>
      <c r="Q138" s="84" t="n">
        <f aca="false">IFERROR(__xludf.dummyfunction("""COMPUTED_VALUE"""),55068)</f>
        <v>55068</v>
      </c>
      <c r="R138" s="84" t="n">
        <f aca="false">IFERROR(__xludf.dummyfunction("""COMPUTED_VALUE"""),0)</f>
        <v>0</v>
      </c>
      <c r="S138" s="84" t="n">
        <f aca="false">IFERROR(__xludf.dummyfunction("""COMPUTED_VALUE"""),16415)</f>
        <v>16415</v>
      </c>
      <c r="T138" s="84" t="n">
        <f aca="false">IFERROR(__xludf.dummyfunction("""COMPUTED_VALUE"""),25)</f>
        <v>25</v>
      </c>
      <c r="U138" s="84" t="n">
        <f aca="false">IFERROR(__xludf.dummyfunction("""COMPUTED_VALUE"""),569)</f>
        <v>569</v>
      </c>
      <c r="V138" s="84" t="n">
        <f aca="false">IFERROR(__xludf.dummyfunction("""COMPUTED_VALUE"""),4478)</f>
        <v>4478</v>
      </c>
      <c r="W138" s="84" t="n">
        <f aca="false">IFERROR(__xludf.dummyfunction("""COMPUTED_VALUE"""),4873)</f>
        <v>4873</v>
      </c>
      <c r="X138" s="84" t="n">
        <f aca="false">IFERROR(__xludf.dummyfunction("""COMPUTED_VALUE"""),40986)</f>
        <v>40986</v>
      </c>
      <c r="Y138" s="84" t="n">
        <f aca="false">IFERROR(__xludf.dummyfunction("""COMPUTED_VALUE"""),1730)</f>
        <v>1730</v>
      </c>
      <c r="Z138" s="84" t="n">
        <f aca="false">IFERROR(__xludf.dummyfunction("""COMPUTED_VALUE"""),1799)</f>
        <v>1799</v>
      </c>
      <c r="AA138" s="84" t="n">
        <f aca="false">IFERROR(__xludf.dummyfunction("""COMPUTED_VALUE"""),3174)</f>
        <v>3174</v>
      </c>
      <c r="AB138" s="84" t="n">
        <f aca="false">IFERROR(__xludf.dummyfunction("""COMPUTED_VALUE"""),30300)</f>
        <v>30300</v>
      </c>
      <c r="AC138" s="84" t="n">
        <f aca="false">IFERROR(__xludf.dummyfunction("""COMPUTED_VALUE"""),15088)</f>
        <v>15088</v>
      </c>
      <c r="AD138" s="84" t="n">
        <f aca="false">IFERROR(__xludf.dummyfunction("""COMPUTED_VALUE"""),16)</f>
        <v>16</v>
      </c>
      <c r="AE138" s="84" t="n">
        <f aca="false">IFERROR(__xludf.dummyfunction("""COMPUTED_VALUE"""),7682)</f>
        <v>7682</v>
      </c>
      <c r="AF138" s="84" t="n">
        <f aca="false">IFERROR(__xludf.dummyfunction("""COMPUTED_VALUE"""),1470)</f>
        <v>1470</v>
      </c>
      <c r="AG138" s="84" t="n">
        <f aca="false">IFERROR(__xludf.dummyfunction("""COMPUTED_VALUE"""),52510)</f>
        <v>52510</v>
      </c>
      <c r="AH138" s="84" t="n">
        <f aca="false">IFERROR(__xludf.dummyfunction("""COMPUTED_VALUE"""),16604)</f>
        <v>16604</v>
      </c>
      <c r="AI138" s="84" t="n">
        <f aca="false">IFERROR(__xludf.dummyfunction("""COMPUTED_VALUE"""),22113)</f>
        <v>22113</v>
      </c>
      <c r="AJ138" s="84" t="n">
        <f aca="false">IFERROR(__xludf.dummyfunction("""COMPUTED_VALUE"""),2940)</f>
        <v>2940</v>
      </c>
      <c r="AK138" s="84" t="n">
        <f aca="false">IFERROR(__xludf.dummyfunction("""COMPUTED_VALUE"""),7593)</f>
        <v>7593</v>
      </c>
      <c r="AL138" s="84" t="n">
        <f aca="false">IFERROR(__xludf.dummyfunction("""COMPUTED_VALUE"""),34238)</f>
        <v>34238</v>
      </c>
      <c r="AM138" s="84" t="n">
        <f aca="false">IFERROR(__xludf.dummyfunction("""COMPUTED_VALUE"""),373)</f>
        <v>373</v>
      </c>
      <c r="AN138" s="84" t="n">
        <f aca="false">IFERROR(__xludf.dummyfunction("""COMPUTED_VALUE"""),32115)</f>
        <v>32115</v>
      </c>
      <c r="AO138" s="84" t="n">
        <f aca="false">IFERROR(__xludf.dummyfunction("""COMPUTED_VALUE"""),2917)</f>
        <v>2917</v>
      </c>
      <c r="AP138" s="84" t="n">
        <f aca="false">IFERROR(__xludf.dummyfunction("""COMPUTED_VALUE"""),3235)</f>
        <v>3235</v>
      </c>
      <c r="AQ138" s="84" t="n">
        <f aca="false">IFERROR(__xludf.dummyfunction("""COMPUTED_VALUE"""),357)</f>
        <v>357</v>
      </c>
      <c r="AR138" s="84" t="n">
        <f aca="false">IFERROR(__xludf.dummyfunction("""COMPUTED_VALUE"""),0)</f>
        <v>0</v>
      </c>
      <c r="AS138" s="84" t="n">
        <f aca="false">IFERROR(__xludf.dummyfunction("""COMPUTED_VALUE"""),82)</f>
        <v>82</v>
      </c>
      <c r="AT138" s="84" t="n">
        <f aca="false">IFERROR(__xludf.dummyfunction("""COMPUTED_VALUE"""),298000)</f>
        <v>298000</v>
      </c>
      <c r="AU138" s="84" t="n">
        <f aca="false">IFERROR(__xludf.dummyfunction("""COMPUTED_VALUE"""),28983)</f>
        <v>28983</v>
      </c>
      <c r="AV138" s="84" t="n">
        <f aca="false">IFERROR(__xludf.dummyfunction("""COMPUTED_VALUE"""),0)</f>
        <v>0</v>
      </c>
      <c r="AW138" s="84" t="n">
        <f aca="false">IFERROR(__xludf.dummyfunction("""COMPUTED_VALUE"""),3124)</f>
        <v>3124</v>
      </c>
      <c r="AX138" s="84" t="n">
        <f aca="false">IFERROR(__xludf.dummyfunction("""COMPUTED_VALUE"""),10826)</f>
        <v>10826</v>
      </c>
      <c r="AY138" s="84" t="n">
        <f aca="false">IFERROR(__xludf.dummyfunction("""COMPUTED_VALUE"""),0)</f>
        <v>0</v>
      </c>
      <c r="AZ138" s="84" t="n">
        <f aca="false">IFERROR(__xludf.dummyfunction("""COMPUTED_VALUE"""),2557)</f>
        <v>2557</v>
      </c>
      <c r="BA138" s="84" t="n">
        <f aca="false">IFERROR(__xludf.dummyfunction("""COMPUTED_VALUE"""),4741)</f>
        <v>4741</v>
      </c>
    </row>
    <row r="139" customFormat="false" ht="15.75" hidden="false" customHeight="false" outlineLevel="0" collapsed="false">
      <c r="A139" s="78" t="str">
        <f aca="false">IFERROR(__xludf.dummyfunction("""COMPUTED_VALUE"""),"transfer_tax")</f>
        <v>transfer_tax</v>
      </c>
      <c r="B139" s="72" t="n">
        <f aca="false">IFERROR(__xludf.dummyfunction("""COMPUTED_VALUE"""),0)</f>
        <v>0</v>
      </c>
      <c r="C139" s="82" t="n">
        <f aca="false">IFERROR(__xludf.dummyfunction("""COMPUTED_VALUE"""),0)</f>
        <v>0</v>
      </c>
      <c r="D139" s="83" t="n">
        <f aca="false">IFERROR(__xludf.dummyfunction("""COMPUTED_VALUE"""),0)</f>
        <v>0</v>
      </c>
      <c r="E139" s="84" t="n">
        <f aca="false">IFERROR(__xludf.dummyfunction("""COMPUTED_VALUE"""),0)</f>
        <v>0</v>
      </c>
      <c r="F139" s="84" t="n">
        <f aca="false">IFERROR(__xludf.dummyfunction("""COMPUTED_VALUE"""),0)</f>
        <v>0</v>
      </c>
      <c r="G139" s="84" t="n">
        <f aca="false">IFERROR(__xludf.dummyfunction("""COMPUTED_VALUE"""),0)</f>
        <v>0</v>
      </c>
      <c r="H139" s="84" t="n">
        <f aca="false">IFERROR(__xludf.dummyfunction("""COMPUTED_VALUE"""),0)</f>
        <v>0</v>
      </c>
      <c r="I139" s="84" t="n">
        <f aca="false">IFERROR(__xludf.dummyfunction("""COMPUTED_VALUE"""),0)</f>
        <v>0</v>
      </c>
      <c r="J139" s="84" t="n">
        <f aca="false">IFERROR(__xludf.dummyfunction("""COMPUTED_VALUE"""),0)</f>
        <v>0</v>
      </c>
      <c r="K139" s="84" t="n">
        <f aca="false">IFERROR(__xludf.dummyfunction("""COMPUTED_VALUE"""),0)</f>
        <v>0</v>
      </c>
      <c r="L139" s="84" t="n">
        <f aca="false">IFERROR(__xludf.dummyfunction("""COMPUTED_VALUE"""),0)</f>
        <v>0</v>
      </c>
      <c r="M139" s="84" t="n">
        <f aca="false">IFERROR(__xludf.dummyfunction("""COMPUTED_VALUE"""),0)</f>
        <v>0</v>
      </c>
      <c r="N139" s="84" t="n">
        <f aca="false">IFERROR(__xludf.dummyfunction("""COMPUTED_VALUE"""),0)</f>
        <v>0</v>
      </c>
      <c r="O139" s="84" t="n">
        <f aca="false">IFERROR(__xludf.dummyfunction("""COMPUTED_VALUE"""),0)</f>
        <v>0</v>
      </c>
      <c r="P139" s="84" t="n">
        <f aca="false">IFERROR(__xludf.dummyfunction("""COMPUTED_VALUE"""),0)</f>
        <v>0</v>
      </c>
      <c r="Q139" s="84" t="n">
        <f aca="false">IFERROR(__xludf.dummyfunction("""COMPUTED_VALUE"""),0)</f>
        <v>0</v>
      </c>
      <c r="R139" s="84" t="n">
        <f aca="false">IFERROR(__xludf.dummyfunction("""COMPUTED_VALUE"""),0)</f>
        <v>0</v>
      </c>
      <c r="S139" s="84" t="n">
        <f aca="false">IFERROR(__xludf.dummyfunction("""COMPUTED_VALUE"""),0)</f>
        <v>0</v>
      </c>
      <c r="T139" s="84" t="n">
        <f aca="false">IFERROR(__xludf.dummyfunction("""COMPUTED_VALUE"""),0)</f>
        <v>0</v>
      </c>
      <c r="U139" s="84" t="n">
        <f aca="false">IFERROR(__xludf.dummyfunction("""COMPUTED_VALUE"""),0)</f>
        <v>0</v>
      </c>
      <c r="V139" s="84" t="n">
        <f aca="false">IFERROR(__xludf.dummyfunction("""COMPUTED_VALUE"""),0)</f>
        <v>0</v>
      </c>
      <c r="W139" s="84" t="n">
        <f aca="false">IFERROR(__xludf.dummyfunction("""COMPUTED_VALUE"""),0)</f>
        <v>0</v>
      </c>
      <c r="X139" s="84" t="n">
        <f aca="false">IFERROR(__xludf.dummyfunction("""COMPUTED_VALUE"""),0)</f>
        <v>0</v>
      </c>
      <c r="Y139" s="84" t="n">
        <f aca="false">IFERROR(__xludf.dummyfunction("""COMPUTED_VALUE"""),0)</f>
        <v>0</v>
      </c>
      <c r="Z139" s="84" t="n">
        <f aca="false">IFERROR(__xludf.dummyfunction("""COMPUTED_VALUE"""),0)</f>
        <v>0</v>
      </c>
      <c r="AA139" s="84" t="n">
        <f aca="false">IFERROR(__xludf.dummyfunction("""COMPUTED_VALUE"""),0)</f>
        <v>0</v>
      </c>
      <c r="AB139" s="84" t="n">
        <f aca="false">IFERROR(__xludf.dummyfunction("""COMPUTED_VALUE"""),0)</f>
        <v>0</v>
      </c>
      <c r="AC139" s="84" t="n">
        <f aca="false">IFERROR(__xludf.dummyfunction("""COMPUTED_VALUE"""),0)</f>
        <v>0</v>
      </c>
      <c r="AD139" s="84" t="n">
        <f aca="false">IFERROR(__xludf.dummyfunction("""COMPUTED_VALUE"""),0)</f>
        <v>0</v>
      </c>
      <c r="AE139" s="84" t="n">
        <f aca="false">IFERROR(__xludf.dummyfunction("""COMPUTED_VALUE"""),0)</f>
        <v>0</v>
      </c>
      <c r="AF139" s="84" t="n">
        <f aca="false">IFERROR(__xludf.dummyfunction("""COMPUTED_VALUE"""),0)</f>
        <v>0</v>
      </c>
      <c r="AG139" s="84" t="n">
        <f aca="false">IFERROR(__xludf.dummyfunction("""COMPUTED_VALUE"""),0)</f>
        <v>0</v>
      </c>
      <c r="AH139" s="84" t="n">
        <f aca="false">IFERROR(__xludf.dummyfunction("""COMPUTED_VALUE"""),0)</f>
        <v>0</v>
      </c>
      <c r="AI139" s="84" t="n">
        <f aca="false">IFERROR(__xludf.dummyfunction("""COMPUTED_VALUE"""),0)</f>
        <v>0</v>
      </c>
      <c r="AJ139" s="84" t="n">
        <f aca="false">IFERROR(__xludf.dummyfunction("""COMPUTED_VALUE"""),0)</f>
        <v>0</v>
      </c>
      <c r="AK139" s="84" t="n">
        <f aca="false">IFERROR(__xludf.dummyfunction("""COMPUTED_VALUE"""),0)</f>
        <v>0</v>
      </c>
      <c r="AL139" s="84" t="n">
        <f aca="false">IFERROR(__xludf.dummyfunction("""COMPUTED_VALUE"""),0)</f>
        <v>0</v>
      </c>
      <c r="AM139" s="84" t="n">
        <f aca="false">IFERROR(__xludf.dummyfunction("""COMPUTED_VALUE"""),0)</f>
        <v>0</v>
      </c>
      <c r="AN139" s="84" t="n">
        <f aca="false">IFERROR(__xludf.dummyfunction("""COMPUTED_VALUE"""),0)</f>
        <v>0</v>
      </c>
      <c r="AO139" s="84" t="n">
        <f aca="false">IFERROR(__xludf.dummyfunction("""COMPUTED_VALUE"""),0)</f>
        <v>0</v>
      </c>
      <c r="AP139" s="84" t="n">
        <f aca="false">IFERROR(__xludf.dummyfunction("""COMPUTED_VALUE"""),0)</f>
        <v>0</v>
      </c>
      <c r="AQ139" s="84" t="n">
        <f aca="false">IFERROR(__xludf.dummyfunction("""COMPUTED_VALUE"""),0)</f>
        <v>0</v>
      </c>
      <c r="AR139" s="84" t="n">
        <f aca="false">IFERROR(__xludf.dummyfunction("""COMPUTED_VALUE"""),0)</f>
        <v>0</v>
      </c>
      <c r="AS139" s="84" t="n">
        <f aca="false">IFERROR(__xludf.dummyfunction("""COMPUTED_VALUE"""),0)</f>
        <v>0</v>
      </c>
      <c r="AT139" s="84" t="n">
        <f aca="false">IFERROR(__xludf.dummyfunction("""COMPUTED_VALUE"""),0)</f>
        <v>0</v>
      </c>
      <c r="AU139" s="84" t="n">
        <f aca="false">IFERROR(__xludf.dummyfunction("""COMPUTED_VALUE"""),0)</f>
        <v>0</v>
      </c>
      <c r="AV139" s="84" t="n">
        <f aca="false">IFERROR(__xludf.dummyfunction("""COMPUTED_VALUE"""),0)</f>
        <v>0</v>
      </c>
      <c r="AW139" s="84" t="n">
        <f aca="false">IFERROR(__xludf.dummyfunction("""COMPUTED_VALUE"""),0)</f>
        <v>0</v>
      </c>
      <c r="AX139" s="84" t="n">
        <f aca="false">IFERROR(__xludf.dummyfunction("""COMPUTED_VALUE"""),0)</f>
        <v>0</v>
      </c>
      <c r="AY139" s="84" t="n">
        <f aca="false">IFERROR(__xludf.dummyfunction("""COMPUTED_VALUE"""),0)</f>
        <v>0</v>
      </c>
      <c r="AZ139" s="84" t="n">
        <f aca="false">IFERROR(__xludf.dummyfunction("""COMPUTED_VALUE"""),0)</f>
        <v>0</v>
      </c>
      <c r="BA139" s="84" t="n">
        <f aca="false">IFERROR(__xludf.dummyfunction("""COMPUTED_VALUE"""),0)</f>
        <v>0</v>
      </c>
    </row>
    <row r="140" customFormat="false" ht="15.75" hidden="false" customHeight="false" outlineLevel="0" collapsed="false">
      <c r="A140" s="78" t="str">
        <f aca="false">IFERROR(__xludf.dummyfunction("""COMPUTED_VALUE"""),"distressed_sale")</f>
        <v>distressed_sale</v>
      </c>
      <c r="B140" s="72" t="n">
        <f aca="false">IFERROR(__xludf.dummyfunction("""COMPUTED_VALUE"""),0)</f>
        <v>0</v>
      </c>
      <c r="C140" s="82" t="n">
        <f aca="false">IFERROR(__xludf.dummyfunction("""COMPUTED_VALUE"""),0)</f>
        <v>0</v>
      </c>
      <c r="D140" s="83" t="n">
        <f aca="false">IFERROR(__xludf.dummyfunction("""COMPUTED_VALUE"""),0)</f>
        <v>0</v>
      </c>
      <c r="E140" s="84" t="n">
        <f aca="false">IFERROR(__xludf.dummyfunction("""COMPUTED_VALUE"""),0)</f>
        <v>0</v>
      </c>
      <c r="F140" s="84" t="n">
        <f aca="false">IFERROR(__xludf.dummyfunction("""COMPUTED_VALUE"""),0)</f>
        <v>0</v>
      </c>
      <c r="G140" s="84" t="n">
        <f aca="false">IFERROR(__xludf.dummyfunction("""COMPUTED_VALUE"""),0)</f>
        <v>0</v>
      </c>
      <c r="H140" s="84" t="n">
        <f aca="false">IFERROR(__xludf.dummyfunction("""COMPUTED_VALUE"""),0)</f>
        <v>0</v>
      </c>
      <c r="I140" s="84" t="n">
        <f aca="false">IFERROR(__xludf.dummyfunction("""COMPUTED_VALUE"""),0)</f>
        <v>0</v>
      </c>
      <c r="J140" s="84" t="n">
        <f aca="false">IFERROR(__xludf.dummyfunction("""COMPUTED_VALUE"""),0)</f>
        <v>0</v>
      </c>
      <c r="K140" s="84" t="n">
        <f aca="false">IFERROR(__xludf.dummyfunction("""COMPUTED_VALUE"""),0)</f>
        <v>0</v>
      </c>
      <c r="L140" s="84" t="n">
        <f aca="false">IFERROR(__xludf.dummyfunction("""COMPUTED_VALUE"""),0)</f>
        <v>0</v>
      </c>
      <c r="M140" s="84" t="n">
        <f aca="false">IFERROR(__xludf.dummyfunction("""COMPUTED_VALUE"""),0)</f>
        <v>0</v>
      </c>
      <c r="N140" s="84" t="n">
        <f aca="false">IFERROR(__xludf.dummyfunction("""COMPUTED_VALUE"""),0)</f>
        <v>0</v>
      </c>
      <c r="O140" s="84" t="n">
        <f aca="false">IFERROR(__xludf.dummyfunction("""COMPUTED_VALUE"""),0)</f>
        <v>0</v>
      </c>
      <c r="P140" s="84" t="n">
        <f aca="false">IFERROR(__xludf.dummyfunction("""COMPUTED_VALUE"""),0)</f>
        <v>0</v>
      </c>
      <c r="Q140" s="84" t="n">
        <f aca="false">IFERROR(__xludf.dummyfunction("""COMPUTED_VALUE"""),0)</f>
        <v>0</v>
      </c>
      <c r="R140" s="84" t="n">
        <f aca="false">IFERROR(__xludf.dummyfunction("""COMPUTED_VALUE"""),0)</f>
        <v>0</v>
      </c>
      <c r="S140" s="84" t="n">
        <f aca="false">IFERROR(__xludf.dummyfunction("""COMPUTED_VALUE"""),0)</f>
        <v>0</v>
      </c>
      <c r="T140" s="84" t="n">
        <f aca="false">IFERROR(__xludf.dummyfunction("""COMPUTED_VALUE"""),0)</f>
        <v>0</v>
      </c>
      <c r="U140" s="84" t="n">
        <f aca="false">IFERROR(__xludf.dummyfunction("""COMPUTED_VALUE"""),0)</f>
        <v>0</v>
      </c>
      <c r="V140" s="84" t="n">
        <f aca="false">IFERROR(__xludf.dummyfunction("""COMPUTED_VALUE"""),0)</f>
        <v>0</v>
      </c>
      <c r="W140" s="84" t="n">
        <f aca="false">IFERROR(__xludf.dummyfunction("""COMPUTED_VALUE"""),0)</f>
        <v>0</v>
      </c>
      <c r="X140" s="84" t="n">
        <f aca="false">IFERROR(__xludf.dummyfunction("""COMPUTED_VALUE"""),0)</f>
        <v>0</v>
      </c>
      <c r="Y140" s="84" t="n">
        <f aca="false">IFERROR(__xludf.dummyfunction("""COMPUTED_VALUE"""),0)</f>
        <v>0</v>
      </c>
      <c r="Z140" s="84" t="n">
        <f aca="false">IFERROR(__xludf.dummyfunction("""COMPUTED_VALUE"""),0)</f>
        <v>0</v>
      </c>
      <c r="AA140" s="84" t="n">
        <f aca="false">IFERROR(__xludf.dummyfunction("""COMPUTED_VALUE"""),0)</f>
        <v>0</v>
      </c>
      <c r="AB140" s="84" t="n">
        <f aca="false">IFERROR(__xludf.dummyfunction("""COMPUTED_VALUE"""),0)</f>
        <v>0</v>
      </c>
      <c r="AC140" s="84" t="n">
        <f aca="false">IFERROR(__xludf.dummyfunction("""COMPUTED_VALUE"""),0)</f>
        <v>0</v>
      </c>
      <c r="AD140" s="84" t="n">
        <f aca="false">IFERROR(__xludf.dummyfunction("""COMPUTED_VALUE"""),0)</f>
        <v>0</v>
      </c>
      <c r="AE140" s="84" t="n">
        <f aca="false">IFERROR(__xludf.dummyfunction("""COMPUTED_VALUE"""),0)</f>
        <v>0</v>
      </c>
      <c r="AF140" s="84" t="n">
        <f aca="false">IFERROR(__xludf.dummyfunction("""COMPUTED_VALUE"""),0)</f>
        <v>0</v>
      </c>
      <c r="AG140" s="84" t="n">
        <f aca="false">IFERROR(__xludf.dummyfunction("""COMPUTED_VALUE"""),0)</f>
        <v>0</v>
      </c>
      <c r="AH140" s="84" t="n">
        <f aca="false">IFERROR(__xludf.dummyfunction("""COMPUTED_VALUE"""),0)</f>
        <v>0</v>
      </c>
      <c r="AI140" s="84" t="n">
        <f aca="false">IFERROR(__xludf.dummyfunction("""COMPUTED_VALUE"""),0)</f>
        <v>0</v>
      </c>
      <c r="AJ140" s="84" t="n">
        <f aca="false">IFERROR(__xludf.dummyfunction("""COMPUTED_VALUE"""),0)</f>
        <v>0</v>
      </c>
      <c r="AK140" s="84" t="n">
        <f aca="false">IFERROR(__xludf.dummyfunction("""COMPUTED_VALUE"""),0)</f>
        <v>0</v>
      </c>
      <c r="AL140" s="84" t="n">
        <f aca="false">IFERROR(__xludf.dummyfunction("""COMPUTED_VALUE"""),0)</f>
        <v>0</v>
      </c>
      <c r="AM140" s="84" t="n">
        <f aca="false">IFERROR(__xludf.dummyfunction("""COMPUTED_VALUE"""),0)</f>
        <v>0</v>
      </c>
      <c r="AN140" s="84" t="n">
        <f aca="false">IFERROR(__xludf.dummyfunction("""COMPUTED_VALUE"""),0)</f>
        <v>0</v>
      </c>
      <c r="AO140" s="84" t="n">
        <f aca="false">IFERROR(__xludf.dummyfunction("""COMPUTED_VALUE"""),0)</f>
        <v>0</v>
      </c>
      <c r="AP140" s="84" t="n">
        <f aca="false">IFERROR(__xludf.dummyfunction("""COMPUTED_VALUE"""),0)</f>
        <v>0</v>
      </c>
      <c r="AQ140" s="84" t="n">
        <f aca="false">IFERROR(__xludf.dummyfunction("""COMPUTED_VALUE"""),0)</f>
        <v>0</v>
      </c>
      <c r="AR140" s="84" t="n">
        <f aca="false">IFERROR(__xludf.dummyfunction("""COMPUTED_VALUE"""),0)</f>
        <v>0</v>
      </c>
      <c r="AS140" s="84" t="n">
        <f aca="false">IFERROR(__xludf.dummyfunction("""COMPUTED_VALUE"""),0)</f>
        <v>0</v>
      </c>
      <c r="AT140" s="84" t="n">
        <f aca="false">IFERROR(__xludf.dummyfunction("""COMPUTED_VALUE"""),0)</f>
        <v>0</v>
      </c>
      <c r="AU140" s="84" t="n">
        <f aca="false">IFERROR(__xludf.dummyfunction("""COMPUTED_VALUE"""),0)</f>
        <v>0</v>
      </c>
      <c r="AV140" s="84" t="n">
        <f aca="false">IFERROR(__xludf.dummyfunction("""COMPUTED_VALUE"""),0)</f>
        <v>0</v>
      </c>
      <c r="AW140" s="84" t="n">
        <f aca="false">IFERROR(__xludf.dummyfunction("""COMPUTED_VALUE"""),0)</f>
        <v>0</v>
      </c>
      <c r="AX140" s="84" t="n">
        <f aca="false">IFERROR(__xludf.dummyfunction("""COMPUTED_VALUE"""),0)</f>
        <v>0</v>
      </c>
      <c r="AY140" s="84" t="n">
        <f aca="false">IFERROR(__xludf.dummyfunction("""COMPUTED_VALUE"""),0)</f>
        <v>0</v>
      </c>
      <c r="AZ140" s="84" t="n">
        <f aca="false">IFERROR(__xludf.dummyfunction("""COMPUTED_VALUE"""),0)</f>
        <v>0</v>
      </c>
      <c r="BA140" s="84" t="n">
        <f aca="false">IFERROR(__xludf.dummyfunction("""COMPUTED_VALUE"""),0)</f>
        <v>0</v>
      </c>
    </row>
    <row r="141" customFormat="false" ht="15.75" hidden="false" customHeight="false" outlineLevel="0" collapsed="false">
      <c r="A141" s="78" t="str">
        <f aca="false">IFERROR(__xludf.dummyfunction("""COMPUTED_VALUE"""),"real_estate_owned")</f>
        <v>real_estate_owned</v>
      </c>
      <c r="B141" s="72" t="n">
        <f aca="false">IFERROR(__xludf.dummyfunction("""COMPUTED_VALUE"""),0)</f>
        <v>0</v>
      </c>
      <c r="C141" s="82" t="n">
        <f aca="false">IFERROR(__xludf.dummyfunction("""COMPUTED_VALUE"""),0)</f>
        <v>0</v>
      </c>
      <c r="D141" s="83" t="n">
        <f aca="false">IFERROR(__xludf.dummyfunction("""COMPUTED_VALUE"""),0)</f>
        <v>0</v>
      </c>
      <c r="E141" s="84" t="n">
        <f aca="false">IFERROR(__xludf.dummyfunction("""COMPUTED_VALUE"""),0)</f>
        <v>0</v>
      </c>
      <c r="F141" s="84" t="n">
        <f aca="false">IFERROR(__xludf.dummyfunction("""COMPUTED_VALUE"""),0)</f>
        <v>0</v>
      </c>
      <c r="G141" s="84" t="n">
        <f aca="false">IFERROR(__xludf.dummyfunction("""COMPUTED_VALUE"""),0)</f>
        <v>0</v>
      </c>
      <c r="H141" s="84" t="n">
        <f aca="false">IFERROR(__xludf.dummyfunction("""COMPUTED_VALUE"""),0)</f>
        <v>0</v>
      </c>
      <c r="I141" s="84" t="n">
        <f aca="false">IFERROR(__xludf.dummyfunction("""COMPUTED_VALUE"""),0)</f>
        <v>0</v>
      </c>
      <c r="J141" s="84" t="n">
        <f aca="false">IFERROR(__xludf.dummyfunction("""COMPUTED_VALUE"""),0)</f>
        <v>0</v>
      </c>
      <c r="K141" s="84" t="n">
        <f aca="false">IFERROR(__xludf.dummyfunction("""COMPUTED_VALUE"""),0)</f>
        <v>0</v>
      </c>
      <c r="L141" s="84" t="n">
        <f aca="false">IFERROR(__xludf.dummyfunction("""COMPUTED_VALUE"""),0)</f>
        <v>0</v>
      </c>
      <c r="M141" s="84" t="n">
        <f aca="false">IFERROR(__xludf.dummyfunction("""COMPUTED_VALUE"""),0)</f>
        <v>0</v>
      </c>
      <c r="N141" s="84" t="n">
        <f aca="false">IFERROR(__xludf.dummyfunction("""COMPUTED_VALUE"""),0)</f>
        <v>0</v>
      </c>
      <c r="O141" s="84" t="n">
        <f aca="false">IFERROR(__xludf.dummyfunction("""COMPUTED_VALUE"""),0)</f>
        <v>0</v>
      </c>
      <c r="P141" s="84" t="n">
        <f aca="false">IFERROR(__xludf.dummyfunction("""COMPUTED_VALUE"""),0)</f>
        <v>0</v>
      </c>
      <c r="Q141" s="84" t="n">
        <f aca="false">IFERROR(__xludf.dummyfunction("""COMPUTED_VALUE"""),0)</f>
        <v>0</v>
      </c>
      <c r="R141" s="84" t="n">
        <f aca="false">IFERROR(__xludf.dummyfunction("""COMPUTED_VALUE"""),0)</f>
        <v>0</v>
      </c>
      <c r="S141" s="84" t="n">
        <f aca="false">IFERROR(__xludf.dummyfunction("""COMPUTED_VALUE"""),0)</f>
        <v>0</v>
      </c>
      <c r="T141" s="84" t="n">
        <f aca="false">IFERROR(__xludf.dummyfunction("""COMPUTED_VALUE"""),0)</f>
        <v>0</v>
      </c>
      <c r="U141" s="84" t="n">
        <f aca="false">IFERROR(__xludf.dummyfunction("""COMPUTED_VALUE"""),0)</f>
        <v>0</v>
      </c>
      <c r="V141" s="84" t="n">
        <f aca="false">IFERROR(__xludf.dummyfunction("""COMPUTED_VALUE"""),0)</f>
        <v>0</v>
      </c>
      <c r="W141" s="84" t="n">
        <f aca="false">IFERROR(__xludf.dummyfunction("""COMPUTED_VALUE"""),0)</f>
        <v>0</v>
      </c>
      <c r="X141" s="84" t="n">
        <f aca="false">IFERROR(__xludf.dummyfunction("""COMPUTED_VALUE"""),0)</f>
        <v>0</v>
      </c>
      <c r="Y141" s="84" t="n">
        <f aca="false">IFERROR(__xludf.dummyfunction("""COMPUTED_VALUE"""),0)</f>
        <v>0</v>
      </c>
      <c r="Z141" s="84" t="n">
        <f aca="false">IFERROR(__xludf.dummyfunction("""COMPUTED_VALUE"""),0)</f>
        <v>0</v>
      </c>
      <c r="AA141" s="84" t="n">
        <f aca="false">IFERROR(__xludf.dummyfunction("""COMPUTED_VALUE"""),0)</f>
        <v>0</v>
      </c>
      <c r="AB141" s="84" t="n">
        <f aca="false">IFERROR(__xludf.dummyfunction("""COMPUTED_VALUE"""),0)</f>
        <v>0</v>
      </c>
      <c r="AC141" s="84" t="n">
        <f aca="false">IFERROR(__xludf.dummyfunction("""COMPUTED_VALUE"""),0)</f>
        <v>0</v>
      </c>
      <c r="AD141" s="84" t="n">
        <f aca="false">IFERROR(__xludf.dummyfunction("""COMPUTED_VALUE"""),0)</f>
        <v>0</v>
      </c>
      <c r="AE141" s="84" t="n">
        <f aca="false">IFERROR(__xludf.dummyfunction("""COMPUTED_VALUE"""),0)</f>
        <v>0</v>
      </c>
      <c r="AF141" s="84" t="n">
        <f aca="false">IFERROR(__xludf.dummyfunction("""COMPUTED_VALUE"""),0)</f>
        <v>0</v>
      </c>
      <c r="AG141" s="84" t="n">
        <f aca="false">IFERROR(__xludf.dummyfunction("""COMPUTED_VALUE"""),0)</f>
        <v>0</v>
      </c>
      <c r="AH141" s="84" t="n">
        <f aca="false">IFERROR(__xludf.dummyfunction("""COMPUTED_VALUE"""),0)</f>
        <v>0</v>
      </c>
      <c r="AI141" s="84" t="n">
        <f aca="false">IFERROR(__xludf.dummyfunction("""COMPUTED_VALUE"""),0)</f>
        <v>0</v>
      </c>
      <c r="AJ141" s="84" t="n">
        <f aca="false">IFERROR(__xludf.dummyfunction("""COMPUTED_VALUE"""),0)</f>
        <v>0</v>
      </c>
      <c r="AK141" s="84" t="n">
        <f aca="false">IFERROR(__xludf.dummyfunction("""COMPUTED_VALUE"""),0)</f>
        <v>0</v>
      </c>
      <c r="AL141" s="84" t="n">
        <f aca="false">IFERROR(__xludf.dummyfunction("""COMPUTED_VALUE"""),0)</f>
        <v>0</v>
      </c>
      <c r="AM141" s="84" t="n">
        <f aca="false">IFERROR(__xludf.dummyfunction("""COMPUTED_VALUE"""),0)</f>
        <v>0</v>
      </c>
      <c r="AN141" s="84" t="n">
        <f aca="false">IFERROR(__xludf.dummyfunction("""COMPUTED_VALUE"""),0)</f>
        <v>0</v>
      </c>
      <c r="AO141" s="84" t="n">
        <f aca="false">IFERROR(__xludf.dummyfunction("""COMPUTED_VALUE"""),0)</f>
        <v>0</v>
      </c>
      <c r="AP141" s="84" t="n">
        <f aca="false">IFERROR(__xludf.dummyfunction("""COMPUTED_VALUE"""),0)</f>
        <v>0</v>
      </c>
      <c r="AQ141" s="84" t="n">
        <f aca="false">IFERROR(__xludf.dummyfunction("""COMPUTED_VALUE"""),0)</f>
        <v>0</v>
      </c>
      <c r="AR141" s="84" t="n">
        <f aca="false">IFERROR(__xludf.dummyfunction("""COMPUTED_VALUE"""),0)</f>
        <v>0</v>
      </c>
      <c r="AS141" s="84" t="n">
        <f aca="false">IFERROR(__xludf.dummyfunction("""COMPUTED_VALUE"""),0)</f>
        <v>0</v>
      </c>
      <c r="AT141" s="84" t="n">
        <f aca="false">IFERROR(__xludf.dummyfunction("""COMPUTED_VALUE"""),0)</f>
        <v>0</v>
      </c>
      <c r="AU141" s="84" t="n">
        <f aca="false">IFERROR(__xludf.dummyfunction("""COMPUTED_VALUE"""),0)</f>
        <v>0</v>
      </c>
      <c r="AV141" s="84" t="n">
        <f aca="false">IFERROR(__xludf.dummyfunction("""COMPUTED_VALUE"""),0)</f>
        <v>0</v>
      </c>
      <c r="AW141" s="84" t="n">
        <f aca="false">IFERROR(__xludf.dummyfunction("""COMPUTED_VALUE"""),0)</f>
        <v>0</v>
      </c>
      <c r="AX141" s="84" t="n">
        <f aca="false">IFERROR(__xludf.dummyfunction("""COMPUTED_VALUE"""),0)</f>
        <v>0</v>
      </c>
      <c r="AY141" s="84" t="n">
        <f aca="false">IFERROR(__xludf.dummyfunction("""COMPUTED_VALUE"""),0)</f>
        <v>0</v>
      </c>
      <c r="AZ141" s="84" t="n">
        <f aca="false">IFERROR(__xludf.dummyfunction("""COMPUTED_VALUE"""),0)</f>
        <v>0</v>
      </c>
      <c r="BA141" s="84" t="n">
        <f aca="false">IFERROR(__xludf.dummyfunction("""COMPUTED_VALUE"""),0)</f>
        <v>0</v>
      </c>
    </row>
    <row r="142" customFormat="false" ht="15.75" hidden="false" customHeight="false" outlineLevel="0" collapsed="false">
      <c r="A142" s="78" t="str">
        <f aca="false">IFERROR(__xludf.dummyfunction("""COMPUTED_VALUE"""),"seller_first_name")</f>
        <v>seller_first_name</v>
      </c>
      <c r="B142" s="72" t="n">
        <f aca="false">IFERROR(__xludf.dummyfunction("""COMPUTED_VALUE"""),0)</f>
        <v>0</v>
      </c>
      <c r="C142" s="82" t="n">
        <f aca="false">IFERROR(__xludf.dummyfunction("""COMPUTED_VALUE"""),0)</f>
        <v>0</v>
      </c>
      <c r="D142" s="83" t="n">
        <f aca="false">IFERROR(__xludf.dummyfunction("""COMPUTED_VALUE"""),0)</f>
        <v>0</v>
      </c>
      <c r="E142" s="84" t="n">
        <f aca="false">IFERROR(__xludf.dummyfunction("""COMPUTED_VALUE"""),0)</f>
        <v>0</v>
      </c>
      <c r="F142" s="84" t="n">
        <f aca="false">IFERROR(__xludf.dummyfunction("""COMPUTED_VALUE"""),0)</f>
        <v>0</v>
      </c>
      <c r="G142" s="84" t="n">
        <f aca="false">IFERROR(__xludf.dummyfunction("""COMPUTED_VALUE"""),0)</f>
        <v>0</v>
      </c>
      <c r="H142" s="84" t="n">
        <f aca="false">IFERROR(__xludf.dummyfunction("""COMPUTED_VALUE"""),0)</f>
        <v>0</v>
      </c>
      <c r="I142" s="84" t="n">
        <f aca="false">IFERROR(__xludf.dummyfunction("""COMPUTED_VALUE"""),0)</f>
        <v>0</v>
      </c>
      <c r="J142" s="84" t="n">
        <f aca="false">IFERROR(__xludf.dummyfunction("""COMPUTED_VALUE"""),0)</f>
        <v>0</v>
      </c>
      <c r="K142" s="84" t="n">
        <f aca="false">IFERROR(__xludf.dummyfunction("""COMPUTED_VALUE"""),0)</f>
        <v>0</v>
      </c>
      <c r="L142" s="84" t="n">
        <f aca="false">IFERROR(__xludf.dummyfunction("""COMPUTED_VALUE"""),0)</f>
        <v>0</v>
      </c>
      <c r="M142" s="84" t="n">
        <f aca="false">IFERROR(__xludf.dummyfunction("""COMPUTED_VALUE"""),0)</f>
        <v>0</v>
      </c>
      <c r="N142" s="84" t="n">
        <f aca="false">IFERROR(__xludf.dummyfunction("""COMPUTED_VALUE"""),0)</f>
        <v>0</v>
      </c>
      <c r="O142" s="84" t="n">
        <f aca="false">IFERROR(__xludf.dummyfunction("""COMPUTED_VALUE"""),0)</f>
        <v>0</v>
      </c>
      <c r="P142" s="84" t="n">
        <f aca="false">IFERROR(__xludf.dummyfunction("""COMPUTED_VALUE"""),0)</f>
        <v>0</v>
      </c>
      <c r="Q142" s="84" t="n">
        <f aca="false">IFERROR(__xludf.dummyfunction("""COMPUTED_VALUE"""),0)</f>
        <v>0</v>
      </c>
      <c r="R142" s="84" t="n">
        <f aca="false">IFERROR(__xludf.dummyfunction("""COMPUTED_VALUE"""),0)</f>
        <v>0</v>
      </c>
      <c r="S142" s="84" t="n">
        <f aca="false">IFERROR(__xludf.dummyfunction("""COMPUTED_VALUE"""),0)</f>
        <v>0</v>
      </c>
      <c r="T142" s="84" t="n">
        <f aca="false">IFERROR(__xludf.dummyfunction("""COMPUTED_VALUE"""),0)</f>
        <v>0</v>
      </c>
      <c r="U142" s="84" t="n">
        <f aca="false">IFERROR(__xludf.dummyfunction("""COMPUTED_VALUE"""),0)</f>
        <v>0</v>
      </c>
      <c r="V142" s="84" t="n">
        <f aca="false">IFERROR(__xludf.dummyfunction("""COMPUTED_VALUE"""),0)</f>
        <v>0</v>
      </c>
      <c r="W142" s="84" t="n">
        <f aca="false">IFERROR(__xludf.dummyfunction("""COMPUTED_VALUE"""),0)</f>
        <v>0</v>
      </c>
      <c r="X142" s="84" t="n">
        <f aca="false">IFERROR(__xludf.dummyfunction("""COMPUTED_VALUE"""),0)</f>
        <v>0</v>
      </c>
      <c r="Y142" s="84" t="n">
        <f aca="false">IFERROR(__xludf.dummyfunction("""COMPUTED_VALUE"""),0)</f>
        <v>0</v>
      </c>
      <c r="Z142" s="84" t="n">
        <f aca="false">IFERROR(__xludf.dummyfunction("""COMPUTED_VALUE"""),0)</f>
        <v>0</v>
      </c>
      <c r="AA142" s="84" t="n">
        <f aca="false">IFERROR(__xludf.dummyfunction("""COMPUTED_VALUE"""),0)</f>
        <v>0</v>
      </c>
      <c r="AB142" s="84" t="n">
        <f aca="false">IFERROR(__xludf.dummyfunction("""COMPUTED_VALUE"""),0)</f>
        <v>0</v>
      </c>
      <c r="AC142" s="84" t="n">
        <f aca="false">IFERROR(__xludf.dummyfunction("""COMPUTED_VALUE"""),0)</f>
        <v>0</v>
      </c>
      <c r="AD142" s="84" t="n">
        <f aca="false">IFERROR(__xludf.dummyfunction("""COMPUTED_VALUE"""),0)</f>
        <v>0</v>
      </c>
      <c r="AE142" s="84" t="n">
        <f aca="false">IFERROR(__xludf.dummyfunction("""COMPUTED_VALUE"""),0)</f>
        <v>0</v>
      </c>
      <c r="AF142" s="84" t="n">
        <f aca="false">IFERROR(__xludf.dummyfunction("""COMPUTED_VALUE"""),0)</f>
        <v>0</v>
      </c>
      <c r="AG142" s="84" t="n">
        <f aca="false">IFERROR(__xludf.dummyfunction("""COMPUTED_VALUE"""),0)</f>
        <v>0</v>
      </c>
      <c r="AH142" s="84" t="n">
        <f aca="false">IFERROR(__xludf.dummyfunction("""COMPUTED_VALUE"""),0)</f>
        <v>0</v>
      </c>
      <c r="AI142" s="84" t="n">
        <f aca="false">IFERROR(__xludf.dummyfunction("""COMPUTED_VALUE"""),0)</f>
        <v>0</v>
      </c>
      <c r="AJ142" s="84" t="n">
        <f aca="false">IFERROR(__xludf.dummyfunction("""COMPUTED_VALUE"""),0)</f>
        <v>0</v>
      </c>
      <c r="AK142" s="84" t="n">
        <f aca="false">IFERROR(__xludf.dummyfunction("""COMPUTED_VALUE"""),0)</f>
        <v>0</v>
      </c>
      <c r="AL142" s="84" t="n">
        <f aca="false">IFERROR(__xludf.dummyfunction("""COMPUTED_VALUE"""),0)</f>
        <v>0</v>
      </c>
      <c r="AM142" s="84" t="n">
        <f aca="false">IFERROR(__xludf.dummyfunction("""COMPUTED_VALUE"""),0)</f>
        <v>0</v>
      </c>
      <c r="AN142" s="84" t="n">
        <f aca="false">IFERROR(__xludf.dummyfunction("""COMPUTED_VALUE"""),0)</f>
        <v>0</v>
      </c>
      <c r="AO142" s="84" t="n">
        <f aca="false">IFERROR(__xludf.dummyfunction("""COMPUTED_VALUE"""),0)</f>
        <v>0</v>
      </c>
      <c r="AP142" s="84" t="n">
        <f aca="false">IFERROR(__xludf.dummyfunction("""COMPUTED_VALUE"""),0)</f>
        <v>0</v>
      </c>
      <c r="AQ142" s="84" t="n">
        <f aca="false">IFERROR(__xludf.dummyfunction("""COMPUTED_VALUE"""),0)</f>
        <v>0</v>
      </c>
      <c r="AR142" s="84" t="n">
        <f aca="false">IFERROR(__xludf.dummyfunction("""COMPUTED_VALUE"""),0)</f>
        <v>0</v>
      </c>
      <c r="AS142" s="84" t="n">
        <f aca="false">IFERROR(__xludf.dummyfunction("""COMPUTED_VALUE"""),0)</f>
        <v>0</v>
      </c>
      <c r="AT142" s="84" t="n">
        <f aca="false">IFERROR(__xludf.dummyfunction("""COMPUTED_VALUE"""),0)</f>
        <v>0</v>
      </c>
      <c r="AU142" s="84" t="n">
        <f aca="false">IFERROR(__xludf.dummyfunction("""COMPUTED_VALUE"""),0)</f>
        <v>0</v>
      </c>
      <c r="AV142" s="84" t="n">
        <f aca="false">IFERROR(__xludf.dummyfunction("""COMPUTED_VALUE"""),0)</f>
        <v>0</v>
      </c>
      <c r="AW142" s="84" t="n">
        <f aca="false">IFERROR(__xludf.dummyfunction("""COMPUTED_VALUE"""),0)</f>
        <v>0</v>
      </c>
      <c r="AX142" s="84" t="n">
        <f aca="false">IFERROR(__xludf.dummyfunction("""COMPUTED_VALUE"""),0)</f>
        <v>0</v>
      </c>
      <c r="AY142" s="84" t="n">
        <f aca="false">IFERROR(__xludf.dummyfunction("""COMPUTED_VALUE"""),0)</f>
        <v>0</v>
      </c>
      <c r="AZ142" s="84" t="n">
        <f aca="false">IFERROR(__xludf.dummyfunction("""COMPUTED_VALUE"""),0)</f>
        <v>0</v>
      </c>
      <c r="BA142" s="84" t="n">
        <f aca="false">IFERROR(__xludf.dummyfunction("""COMPUTED_VALUE"""),0)</f>
        <v>0</v>
      </c>
    </row>
    <row r="143" customFormat="false" ht="15.75" hidden="false" customHeight="false" outlineLevel="0" collapsed="false">
      <c r="A143" s="78" t="str">
        <f aca="false">IFERROR(__xludf.dummyfunction("""COMPUTED_VALUE"""),"seller_last_name")</f>
        <v>seller_last_name</v>
      </c>
      <c r="B143" s="72" t="n">
        <f aca="false">IFERROR(__xludf.dummyfunction("""COMPUTED_VALUE"""),16837743)</f>
        <v>16837743</v>
      </c>
      <c r="C143" s="82" t="n">
        <f aca="false">IFERROR(__xludf.dummyfunction("""COMPUTED_VALUE"""),413002)</f>
        <v>413002</v>
      </c>
      <c r="D143" s="83" t="n">
        <f aca="false">IFERROR(__xludf.dummyfunction("""COMPUTED_VALUE"""),27346)</f>
        <v>27346</v>
      </c>
      <c r="E143" s="84" t="n">
        <f aca="false">IFERROR(__xludf.dummyfunction("""COMPUTED_VALUE"""),427813)</f>
        <v>427813</v>
      </c>
      <c r="F143" s="84" t="n">
        <f aca="false">IFERROR(__xludf.dummyfunction("""COMPUTED_VALUE"""),563512)</f>
        <v>563512</v>
      </c>
      <c r="G143" s="84" t="n">
        <f aca="false">IFERROR(__xludf.dummyfunction("""COMPUTED_VALUE"""),1233650)</f>
        <v>1233650</v>
      </c>
      <c r="H143" s="84" t="n">
        <f aca="false">IFERROR(__xludf.dummyfunction("""COMPUTED_VALUE"""),288050)</f>
        <v>288050</v>
      </c>
      <c r="I143" s="84" t="n">
        <f aca="false">IFERROR(__xludf.dummyfunction("""COMPUTED_VALUE"""),47057)</f>
        <v>47057</v>
      </c>
      <c r="J143" s="84" t="n">
        <f aca="false">IFERROR(__xludf.dummyfunction("""COMPUTED_VALUE"""),31876)</f>
        <v>31876</v>
      </c>
      <c r="K143" s="84" t="n">
        <f aca="false">IFERROR(__xludf.dummyfunction("""COMPUTED_VALUE"""),20285)</f>
        <v>20285</v>
      </c>
      <c r="L143" s="84" t="n">
        <f aca="false">IFERROR(__xludf.dummyfunction("""COMPUTED_VALUE"""),1251299)</f>
        <v>1251299</v>
      </c>
      <c r="M143" s="84" t="n">
        <f aca="false">IFERROR(__xludf.dummyfunction("""COMPUTED_VALUE"""),322245)</f>
        <v>322245</v>
      </c>
      <c r="N143" s="84" t="n">
        <f aca="false">IFERROR(__xludf.dummyfunction("""COMPUTED_VALUE"""),76373)</f>
        <v>76373</v>
      </c>
      <c r="O143" s="84" t="n">
        <f aca="false">IFERROR(__xludf.dummyfunction("""COMPUTED_VALUE"""),73452)</f>
        <v>73452</v>
      </c>
      <c r="P143" s="84" t="n">
        <f aca="false">IFERROR(__xludf.dummyfunction("""COMPUTED_VALUE"""),550249)</f>
        <v>550249</v>
      </c>
      <c r="Q143" s="84" t="n">
        <f aca="false">IFERROR(__xludf.dummyfunction("""COMPUTED_VALUE"""),438737)</f>
        <v>438737</v>
      </c>
      <c r="R143" s="84" t="n">
        <f aca="false">IFERROR(__xludf.dummyfunction("""COMPUTED_VALUE"""),221886)</f>
        <v>221886</v>
      </c>
      <c r="S143" s="84" t="n">
        <f aca="false">IFERROR(__xludf.dummyfunction("""COMPUTED_VALUE"""),252979)</f>
        <v>252979</v>
      </c>
      <c r="T143" s="84" t="n">
        <f aca="false">IFERROR(__xludf.dummyfunction("""COMPUTED_VALUE"""),209357)</f>
        <v>209357</v>
      </c>
      <c r="U143" s="84" t="n">
        <f aca="false">IFERROR(__xludf.dummyfunction("""COMPUTED_VALUE"""),273760)</f>
        <v>273760</v>
      </c>
      <c r="V143" s="84" t="n">
        <f aca="false">IFERROR(__xludf.dummyfunction("""COMPUTED_VALUE"""),44798)</f>
        <v>44798</v>
      </c>
      <c r="W143" s="84" t="n">
        <f aca="false">IFERROR(__xludf.dummyfunction("""COMPUTED_VALUE"""),111687)</f>
        <v>111687</v>
      </c>
      <c r="X143" s="84" t="n">
        <f aca="false">IFERROR(__xludf.dummyfunction("""COMPUTED_VALUE"""),106840)</f>
        <v>106840</v>
      </c>
      <c r="Y143" s="84" t="n">
        <f aca="false">IFERROR(__xludf.dummyfunction("""COMPUTED_VALUE"""),285367)</f>
        <v>285367</v>
      </c>
      <c r="Z143" s="84" t="n">
        <f aca="false">IFERROR(__xludf.dummyfunction("""COMPUTED_VALUE"""),234188)</f>
        <v>234188</v>
      </c>
      <c r="AA143" s="84" t="n">
        <f aca="false">IFERROR(__xludf.dummyfunction("""COMPUTED_VALUE"""),367144)</f>
        <v>367144</v>
      </c>
      <c r="AB143" s="84" t="n">
        <f aca="false">IFERROR(__xludf.dummyfunction("""COMPUTED_VALUE"""),350420)</f>
        <v>350420</v>
      </c>
      <c r="AC143" s="84" t="n">
        <f aca="false">IFERROR(__xludf.dummyfunction("""COMPUTED_VALUE"""),218165)</f>
        <v>218165</v>
      </c>
      <c r="AD143" s="84" t="n">
        <f aca="false">IFERROR(__xludf.dummyfunction("""COMPUTED_VALUE"""),130282)</f>
        <v>130282</v>
      </c>
      <c r="AE143" s="84" t="n">
        <f aca="false">IFERROR(__xludf.dummyfunction("""COMPUTED_VALUE"""),127039)</f>
        <v>127039</v>
      </c>
      <c r="AF143" s="84" t="n">
        <f aca="false">IFERROR(__xludf.dummyfunction("""COMPUTED_VALUE"""),27009)</f>
        <v>27009</v>
      </c>
      <c r="AG143" s="84" t="n">
        <f aca="false">IFERROR(__xludf.dummyfunction("""COMPUTED_VALUE"""),239039)</f>
        <v>239039</v>
      </c>
      <c r="AH143" s="84" t="n">
        <f aca="false">IFERROR(__xludf.dummyfunction("""COMPUTED_VALUE"""),276168)</f>
        <v>276168</v>
      </c>
      <c r="AI143" s="84" t="n">
        <f aca="false">IFERROR(__xludf.dummyfunction("""COMPUTED_VALUE"""),527224)</f>
        <v>527224</v>
      </c>
      <c r="AJ143" s="84" t="n">
        <f aca="false">IFERROR(__xludf.dummyfunction("""COMPUTED_VALUE"""),611310)</f>
        <v>611310</v>
      </c>
      <c r="AK143" s="84" t="n">
        <f aca="false">IFERROR(__xludf.dummyfunction("""COMPUTED_VALUE"""),82205)</f>
        <v>82205</v>
      </c>
      <c r="AL143" s="84" t="n">
        <f aca="false">IFERROR(__xludf.dummyfunction("""COMPUTED_VALUE"""),893734)</f>
        <v>893734</v>
      </c>
      <c r="AM143" s="84" t="n">
        <f aca="false">IFERROR(__xludf.dummyfunction("""COMPUTED_VALUE"""),321095)</f>
        <v>321095</v>
      </c>
      <c r="AN143" s="84" t="n">
        <f aca="false">IFERROR(__xludf.dummyfunction("""COMPUTED_VALUE"""),211649)</f>
        <v>211649</v>
      </c>
      <c r="AO143" s="84" t="n">
        <f aca="false">IFERROR(__xludf.dummyfunction("""COMPUTED_VALUE"""),820861)</f>
        <v>820861</v>
      </c>
      <c r="AP143" s="84" t="n">
        <f aca="false">IFERROR(__xludf.dummyfunction("""COMPUTED_VALUE"""),16304)</f>
        <v>16304</v>
      </c>
      <c r="AQ143" s="84" t="n">
        <f aca="false">IFERROR(__xludf.dummyfunction("""COMPUTED_VALUE"""),362758)</f>
        <v>362758</v>
      </c>
      <c r="AR143" s="84" t="n">
        <f aca="false">IFERROR(__xludf.dummyfunction("""COMPUTED_VALUE"""),57797)</f>
        <v>57797</v>
      </c>
      <c r="AS143" s="84" t="n">
        <f aca="false">IFERROR(__xludf.dummyfunction("""COMPUTED_VALUE"""),225316)</f>
        <v>225316</v>
      </c>
      <c r="AT143" s="84" t="n">
        <f aca="false">IFERROR(__xludf.dummyfunction("""COMPUTED_VALUE"""),1866373)</f>
        <v>1866373</v>
      </c>
      <c r="AU143" s="84" t="n">
        <f aca="false">IFERROR(__xludf.dummyfunction("""COMPUTED_VALUE"""),122029)</f>
        <v>122029</v>
      </c>
      <c r="AV143" s="84" t="n">
        <f aca="false">IFERROR(__xludf.dummyfunction("""COMPUTED_VALUE"""),11241)</f>
        <v>11241</v>
      </c>
      <c r="AW143" s="84" t="n">
        <f aca="false">IFERROR(__xludf.dummyfunction("""COMPUTED_VALUE"""),314059)</f>
        <v>314059</v>
      </c>
      <c r="AX143" s="84" t="n">
        <f aca="false">IFERROR(__xludf.dummyfunction("""COMPUTED_VALUE"""),332981)</f>
        <v>332981</v>
      </c>
      <c r="AY143" s="84" t="n">
        <f aca="false">IFERROR(__xludf.dummyfunction("""COMPUTED_VALUE"""),526604)</f>
        <v>526604</v>
      </c>
      <c r="AZ143" s="84" t="n">
        <f aca="false">IFERROR(__xludf.dummyfunction("""COMPUTED_VALUE"""),264481)</f>
        <v>264481</v>
      </c>
      <c r="BA143" s="84" t="n">
        <f aca="false">IFERROR(__xludf.dummyfunction("""COMPUTED_VALUE"""),28648)</f>
        <v>28648</v>
      </c>
    </row>
    <row r="144" customFormat="false" ht="15.75" hidden="false" customHeight="false" outlineLevel="0" collapsed="false">
      <c r="A144" s="78" t="str">
        <f aca="false">IFERROR(__xludf.dummyfunction("""COMPUTED_VALUE"""),"seller2_first_name")</f>
        <v>seller2_first_name</v>
      </c>
      <c r="B144" s="72" t="n">
        <f aca="false">IFERROR(__xludf.dummyfunction("""COMPUTED_VALUE"""),0)</f>
        <v>0</v>
      </c>
      <c r="C144" s="82" t="n">
        <f aca="false">IFERROR(__xludf.dummyfunction("""COMPUTED_VALUE"""),0)</f>
        <v>0</v>
      </c>
      <c r="D144" s="83" t="n">
        <f aca="false">IFERROR(__xludf.dummyfunction("""COMPUTED_VALUE"""),0)</f>
        <v>0</v>
      </c>
      <c r="E144" s="84" t="n">
        <f aca="false">IFERROR(__xludf.dummyfunction("""COMPUTED_VALUE"""),0)</f>
        <v>0</v>
      </c>
      <c r="F144" s="84" t="n">
        <f aca="false">IFERROR(__xludf.dummyfunction("""COMPUTED_VALUE"""),0)</f>
        <v>0</v>
      </c>
      <c r="G144" s="84" t="n">
        <f aca="false">IFERROR(__xludf.dummyfunction("""COMPUTED_VALUE"""),0)</f>
        <v>0</v>
      </c>
      <c r="H144" s="84" t="n">
        <f aca="false">IFERROR(__xludf.dummyfunction("""COMPUTED_VALUE"""),0)</f>
        <v>0</v>
      </c>
      <c r="I144" s="84" t="n">
        <f aca="false">IFERROR(__xludf.dummyfunction("""COMPUTED_VALUE"""),0)</f>
        <v>0</v>
      </c>
      <c r="J144" s="84" t="n">
        <f aca="false">IFERROR(__xludf.dummyfunction("""COMPUTED_VALUE"""),0)</f>
        <v>0</v>
      </c>
      <c r="K144" s="84" t="n">
        <f aca="false">IFERROR(__xludf.dummyfunction("""COMPUTED_VALUE"""),0)</f>
        <v>0</v>
      </c>
      <c r="L144" s="84" t="n">
        <f aca="false">IFERROR(__xludf.dummyfunction("""COMPUTED_VALUE"""),0)</f>
        <v>0</v>
      </c>
      <c r="M144" s="84" t="n">
        <f aca="false">IFERROR(__xludf.dummyfunction("""COMPUTED_VALUE"""),0)</f>
        <v>0</v>
      </c>
      <c r="N144" s="84" t="n">
        <f aca="false">IFERROR(__xludf.dummyfunction("""COMPUTED_VALUE"""),0)</f>
        <v>0</v>
      </c>
      <c r="O144" s="84" t="n">
        <f aca="false">IFERROR(__xludf.dummyfunction("""COMPUTED_VALUE"""),0)</f>
        <v>0</v>
      </c>
      <c r="P144" s="84" t="n">
        <f aca="false">IFERROR(__xludf.dummyfunction("""COMPUTED_VALUE"""),0)</f>
        <v>0</v>
      </c>
      <c r="Q144" s="84" t="n">
        <f aca="false">IFERROR(__xludf.dummyfunction("""COMPUTED_VALUE"""),0)</f>
        <v>0</v>
      </c>
      <c r="R144" s="84" t="n">
        <f aca="false">IFERROR(__xludf.dummyfunction("""COMPUTED_VALUE"""),0)</f>
        <v>0</v>
      </c>
      <c r="S144" s="84" t="n">
        <f aca="false">IFERROR(__xludf.dummyfunction("""COMPUTED_VALUE"""),0)</f>
        <v>0</v>
      </c>
      <c r="T144" s="84" t="n">
        <f aca="false">IFERROR(__xludf.dummyfunction("""COMPUTED_VALUE"""),0)</f>
        <v>0</v>
      </c>
      <c r="U144" s="84" t="n">
        <f aca="false">IFERROR(__xludf.dummyfunction("""COMPUTED_VALUE"""),0)</f>
        <v>0</v>
      </c>
      <c r="V144" s="84" t="n">
        <f aca="false">IFERROR(__xludf.dummyfunction("""COMPUTED_VALUE"""),0)</f>
        <v>0</v>
      </c>
      <c r="W144" s="84" t="n">
        <f aca="false">IFERROR(__xludf.dummyfunction("""COMPUTED_VALUE"""),0)</f>
        <v>0</v>
      </c>
      <c r="X144" s="84" t="n">
        <f aca="false">IFERROR(__xludf.dummyfunction("""COMPUTED_VALUE"""),0)</f>
        <v>0</v>
      </c>
      <c r="Y144" s="84" t="n">
        <f aca="false">IFERROR(__xludf.dummyfunction("""COMPUTED_VALUE"""),0)</f>
        <v>0</v>
      </c>
      <c r="Z144" s="84" t="n">
        <f aca="false">IFERROR(__xludf.dummyfunction("""COMPUTED_VALUE"""),0)</f>
        <v>0</v>
      </c>
      <c r="AA144" s="84" t="n">
        <f aca="false">IFERROR(__xludf.dummyfunction("""COMPUTED_VALUE"""),0)</f>
        <v>0</v>
      </c>
      <c r="AB144" s="84" t="n">
        <f aca="false">IFERROR(__xludf.dummyfunction("""COMPUTED_VALUE"""),0)</f>
        <v>0</v>
      </c>
      <c r="AC144" s="84" t="n">
        <f aca="false">IFERROR(__xludf.dummyfunction("""COMPUTED_VALUE"""),0)</f>
        <v>0</v>
      </c>
      <c r="AD144" s="84" t="n">
        <f aca="false">IFERROR(__xludf.dummyfunction("""COMPUTED_VALUE"""),0)</f>
        <v>0</v>
      </c>
      <c r="AE144" s="84" t="n">
        <f aca="false">IFERROR(__xludf.dummyfunction("""COMPUTED_VALUE"""),0)</f>
        <v>0</v>
      </c>
      <c r="AF144" s="84" t="n">
        <f aca="false">IFERROR(__xludf.dummyfunction("""COMPUTED_VALUE"""),0)</f>
        <v>0</v>
      </c>
      <c r="AG144" s="84" t="n">
        <f aca="false">IFERROR(__xludf.dummyfunction("""COMPUTED_VALUE"""),0)</f>
        <v>0</v>
      </c>
      <c r="AH144" s="84" t="n">
        <f aca="false">IFERROR(__xludf.dummyfunction("""COMPUTED_VALUE"""),0)</f>
        <v>0</v>
      </c>
      <c r="AI144" s="84" t="n">
        <f aca="false">IFERROR(__xludf.dummyfunction("""COMPUTED_VALUE"""),0)</f>
        <v>0</v>
      </c>
      <c r="AJ144" s="84" t="n">
        <f aca="false">IFERROR(__xludf.dummyfunction("""COMPUTED_VALUE"""),0)</f>
        <v>0</v>
      </c>
      <c r="AK144" s="84" t="n">
        <f aca="false">IFERROR(__xludf.dummyfunction("""COMPUTED_VALUE"""),0)</f>
        <v>0</v>
      </c>
      <c r="AL144" s="84" t="n">
        <f aca="false">IFERROR(__xludf.dummyfunction("""COMPUTED_VALUE"""),0)</f>
        <v>0</v>
      </c>
      <c r="AM144" s="84" t="n">
        <f aca="false">IFERROR(__xludf.dummyfunction("""COMPUTED_VALUE"""),0)</f>
        <v>0</v>
      </c>
      <c r="AN144" s="84" t="n">
        <f aca="false">IFERROR(__xludf.dummyfunction("""COMPUTED_VALUE"""),0)</f>
        <v>0</v>
      </c>
      <c r="AO144" s="84" t="n">
        <f aca="false">IFERROR(__xludf.dummyfunction("""COMPUTED_VALUE"""),0)</f>
        <v>0</v>
      </c>
      <c r="AP144" s="84" t="n">
        <f aca="false">IFERROR(__xludf.dummyfunction("""COMPUTED_VALUE"""),0)</f>
        <v>0</v>
      </c>
      <c r="AQ144" s="84" t="n">
        <f aca="false">IFERROR(__xludf.dummyfunction("""COMPUTED_VALUE"""),0)</f>
        <v>0</v>
      </c>
      <c r="AR144" s="84" t="n">
        <f aca="false">IFERROR(__xludf.dummyfunction("""COMPUTED_VALUE"""),0)</f>
        <v>0</v>
      </c>
      <c r="AS144" s="84" t="n">
        <f aca="false">IFERROR(__xludf.dummyfunction("""COMPUTED_VALUE"""),0)</f>
        <v>0</v>
      </c>
      <c r="AT144" s="84" t="n">
        <f aca="false">IFERROR(__xludf.dummyfunction("""COMPUTED_VALUE"""),0)</f>
        <v>0</v>
      </c>
      <c r="AU144" s="84" t="n">
        <f aca="false">IFERROR(__xludf.dummyfunction("""COMPUTED_VALUE"""),0)</f>
        <v>0</v>
      </c>
      <c r="AV144" s="84" t="n">
        <f aca="false">IFERROR(__xludf.dummyfunction("""COMPUTED_VALUE"""),0)</f>
        <v>0</v>
      </c>
      <c r="AW144" s="84" t="n">
        <f aca="false">IFERROR(__xludf.dummyfunction("""COMPUTED_VALUE"""),0)</f>
        <v>0</v>
      </c>
      <c r="AX144" s="84" t="n">
        <f aca="false">IFERROR(__xludf.dummyfunction("""COMPUTED_VALUE"""),0)</f>
        <v>0</v>
      </c>
      <c r="AY144" s="84" t="n">
        <f aca="false">IFERROR(__xludf.dummyfunction("""COMPUTED_VALUE"""),0)</f>
        <v>0</v>
      </c>
      <c r="AZ144" s="84" t="n">
        <f aca="false">IFERROR(__xludf.dummyfunction("""COMPUTED_VALUE"""),0)</f>
        <v>0</v>
      </c>
      <c r="BA144" s="84" t="n">
        <f aca="false">IFERROR(__xludf.dummyfunction("""COMPUTED_VALUE"""),0)</f>
        <v>0</v>
      </c>
    </row>
    <row r="145" customFormat="false" ht="15.75" hidden="false" customHeight="false" outlineLevel="0" collapsed="false">
      <c r="A145" s="78" t="str">
        <f aca="false">IFERROR(__xludf.dummyfunction("""COMPUTED_VALUE"""),"seller2_last_name")</f>
        <v>seller2_last_name</v>
      </c>
      <c r="B145" s="72" t="n">
        <f aca="false">IFERROR(__xludf.dummyfunction("""COMPUTED_VALUE"""),0)</f>
        <v>0</v>
      </c>
      <c r="C145" s="82" t="n">
        <f aca="false">IFERROR(__xludf.dummyfunction("""COMPUTED_VALUE"""),0)</f>
        <v>0</v>
      </c>
      <c r="D145" s="83" t="n">
        <f aca="false">IFERROR(__xludf.dummyfunction("""COMPUTED_VALUE"""),0)</f>
        <v>0</v>
      </c>
      <c r="E145" s="84" t="n">
        <f aca="false">IFERROR(__xludf.dummyfunction("""COMPUTED_VALUE"""),0)</f>
        <v>0</v>
      </c>
      <c r="F145" s="84" t="n">
        <f aca="false">IFERROR(__xludf.dummyfunction("""COMPUTED_VALUE"""),0)</f>
        <v>0</v>
      </c>
      <c r="G145" s="84" t="n">
        <f aca="false">IFERROR(__xludf.dummyfunction("""COMPUTED_VALUE"""),0)</f>
        <v>0</v>
      </c>
      <c r="H145" s="84" t="n">
        <f aca="false">IFERROR(__xludf.dummyfunction("""COMPUTED_VALUE"""),0)</f>
        <v>0</v>
      </c>
      <c r="I145" s="84" t="n">
        <f aca="false">IFERROR(__xludf.dummyfunction("""COMPUTED_VALUE"""),0)</f>
        <v>0</v>
      </c>
      <c r="J145" s="84" t="n">
        <f aca="false">IFERROR(__xludf.dummyfunction("""COMPUTED_VALUE"""),0)</f>
        <v>0</v>
      </c>
      <c r="K145" s="84" t="n">
        <f aca="false">IFERROR(__xludf.dummyfunction("""COMPUTED_VALUE"""),0)</f>
        <v>0</v>
      </c>
      <c r="L145" s="84" t="n">
        <f aca="false">IFERROR(__xludf.dummyfunction("""COMPUTED_VALUE"""),0)</f>
        <v>0</v>
      </c>
      <c r="M145" s="84" t="n">
        <f aca="false">IFERROR(__xludf.dummyfunction("""COMPUTED_VALUE"""),0)</f>
        <v>0</v>
      </c>
      <c r="N145" s="84" t="n">
        <f aca="false">IFERROR(__xludf.dummyfunction("""COMPUTED_VALUE"""),0)</f>
        <v>0</v>
      </c>
      <c r="O145" s="84" t="n">
        <f aca="false">IFERROR(__xludf.dummyfunction("""COMPUTED_VALUE"""),0)</f>
        <v>0</v>
      </c>
      <c r="P145" s="84" t="n">
        <f aca="false">IFERROR(__xludf.dummyfunction("""COMPUTED_VALUE"""),0)</f>
        <v>0</v>
      </c>
      <c r="Q145" s="84" t="n">
        <f aca="false">IFERROR(__xludf.dummyfunction("""COMPUTED_VALUE"""),0)</f>
        <v>0</v>
      </c>
      <c r="R145" s="84" t="n">
        <f aca="false">IFERROR(__xludf.dummyfunction("""COMPUTED_VALUE"""),0)</f>
        <v>0</v>
      </c>
      <c r="S145" s="84" t="n">
        <f aca="false">IFERROR(__xludf.dummyfunction("""COMPUTED_VALUE"""),0)</f>
        <v>0</v>
      </c>
      <c r="T145" s="84" t="n">
        <f aca="false">IFERROR(__xludf.dummyfunction("""COMPUTED_VALUE"""),0)</f>
        <v>0</v>
      </c>
      <c r="U145" s="84" t="n">
        <f aca="false">IFERROR(__xludf.dummyfunction("""COMPUTED_VALUE"""),0)</f>
        <v>0</v>
      </c>
      <c r="V145" s="84" t="n">
        <f aca="false">IFERROR(__xludf.dummyfunction("""COMPUTED_VALUE"""),0)</f>
        <v>0</v>
      </c>
      <c r="W145" s="84" t="n">
        <f aca="false">IFERROR(__xludf.dummyfunction("""COMPUTED_VALUE"""),0)</f>
        <v>0</v>
      </c>
      <c r="X145" s="84" t="n">
        <f aca="false">IFERROR(__xludf.dummyfunction("""COMPUTED_VALUE"""),0)</f>
        <v>0</v>
      </c>
      <c r="Y145" s="84" t="n">
        <f aca="false">IFERROR(__xludf.dummyfunction("""COMPUTED_VALUE"""),0)</f>
        <v>0</v>
      </c>
      <c r="Z145" s="84" t="n">
        <f aca="false">IFERROR(__xludf.dummyfunction("""COMPUTED_VALUE"""),0)</f>
        <v>0</v>
      </c>
      <c r="AA145" s="84" t="n">
        <f aca="false">IFERROR(__xludf.dummyfunction("""COMPUTED_VALUE"""),0)</f>
        <v>0</v>
      </c>
      <c r="AB145" s="84" t="n">
        <f aca="false">IFERROR(__xludf.dummyfunction("""COMPUTED_VALUE"""),0)</f>
        <v>0</v>
      </c>
      <c r="AC145" s="84" t="n">
        <f aca="false">IFERROR(__xludf.dummyfunction("""COMPUTED_VALUE"""),0)</f>
        <v>0</v>
      </c>
      <c r="AD145" s="84" t="n">
        <f aca="false">IFERROR(__xludf.dummyfunction("""COMPUTED_VALUE"""),0)</f>
        <v>0</v>
      </c>
      <c r="AE145" s="84" t="n">
        <f aca="false">IFERROR(__xludf.dummyfunction("""COMPUTED_VALUE"""),0)</f>
        <v>0</v>
      </c>
      <c r="AF145" s="84" t="n">
        <f aca="false">IFERROR(__xludf.dummyfunction("""COMPUTED_VALUE"""),0)</f>
        <v>0</v>
      </c>
      <c r="AG145" s="84" t="n">
        <f aca="false">IFERROR(__xludf.dummyfunction("""COMPUTED_VALUE"""),0)</f>
        <v>0</v>
      </c>
      <c r="AH145" s="84" t="n">
        <f aca="false">IFERROR(__xludf.dummyfunction("""COMPUTED_VALUE"""),0)</f>
        <v>0</v>
      </c>
      <c r="AI145" s="84" t="n">
        <f aca="false">IFERROR(__xludf.dummyfunction("""COMPUTED_VALUE"""),0)</f>
        <v>0</v>
      </c>
      <c r="AJ145" s="84" t="n">
        <f aca="false">IFERROR(__xludf.dummyfunction("""COMPUTED_VALUE"""),0)</f>
        <v>0</v>
      </c>
      <c r="AK145" s="84" t="n">
        <f aca="false">IFERROR(__xludf.dummyfunction("""COMPUTED_VALUE"""),0)</f>
        <v>0</v>
      </c>
      <c r="AL145" s="84" t="n">
        <f aca="false">IFERROR(__xludf.dummyfunction("""COMPUTED_VALUE"""),0)</f>
        <v>0</v>
      </c>
      <c r="AM145" s="84" t="n">
        <f aca="false">IFERROR(__xludf.dummyfunction("""COMPUTED_VALUE"""),0)</f>
        <v>0</v>
      </c>
      <c r="AN145" s="84" t="n">
        <f aca="false">IFERROR(__xludf.dummyfunction("""COMPUTED_VALUE"""),0)</f>
        <v>0</v>
      </c>
      <c r="AO145" s="84" t="n">
        <f aca="false">IFERROR(__xludf.dummyfunction("""COMPUTED_VALUE"""),0)</f>
        <v>0</v>
      </c>
      <c r="AP145" s="84" t="n">
        <f aca="false">IFERROR(__xludf.dummyfunction("""COMPUTED_VALUE"""),0)</f>
        <v>0</v>
      </c>
      <c r="AQ145" s="84" t="n">
        <f aca="false">IFERROR(__xludf.dummyfunction("""COMPUTED_VALUE"""),0)</f>
        <v>0</v>
      </c>
      <c r="AR145" s="84" t="n">
        <f aca="false">IFERROR(__xludf.dummyfunction("""COMPUTED_VALUE"""),0)</f>
        <v>0</v>
      </c>
      <c r="AS145" s="84" t="n">
        <f aca="false">IFERROR(__xludf.dummyfunction("""COMPUTED_VALUE"""),0)</f>
        <v>0</v>
      </c>
      <c r="AT145" s="84" t="n">
        <f aca="false">IFERROR(__xludf.dummyfunction("""COMPUTED_VALUE"""),0)</f>
        <v>0</v>
      </c>
      <c r="AU145" s="84" t="n">
        <f aca="false">IFERROR(__xludf.dummyfunction("""COMPUTED_VALUE"""),0)</f>
        <v>0</v>
      </c>
      <c r="AV145" s="84" t="n">
        <f aca="false">IFERROR(__xludf.dummyfunction("""COMPUTED_VALUE"""),0)</f>
        <v>0</v>
      </c>
      <c r="AW145" s="84" t="n">
        <f aca="false">IFERROR(__xludf.dummyfunction("""COMPUTED_VALUE"""),0)</f>
        <v>0</v>
      </c>
      <c r="AX145" s="84" t="n">
        <f aca="false">IFERROR(__xludf.dummyfunction("""COMPUTED_VALUE"""),0)</f>
        <v>0</v>
      </c>
      <c r="AY145" s="84" t="n">
        <f aca="false">IFERROR(__xludf.dummyfunction("""COMPUTED_VALUE"""),0)</f>
        <v>0</v>
      </c>
      <c r="AZ145" s="84" t="n">
        <f aca="false">IFERROR(__xludf.dummyfunction("""COMPUTED_VALUE"""),0)</f>
        <v>0</v>
      </c>
      <c r="BA145" s="84" t="n">
        <f aca="false">IFERROR(__xludf.dummyfunction("""COMPUTED_VALUE"""),0)</f>
        <v>0</v>
      </c>
    </row>
    <row r="146" customFormat="false" ht="15.75" hidden="false" customHeight="false" outlineLevel="0" collapsed="false">
      <c r="A146" s="78" t="str">
        <f aca="false">IFERROR(__xludf.dummyfunction("""COMPUTED_VALUE"""),"seller_address")</f>
        <v>seller_address</v>
      </c>
      <c r="B146" s="72" t="n">
        <f aca="false">IFERROR(__xludf.dummyfunction("""COMPUTED_VALUE"""),0)</f>
        <v>0</v>
      </c>
      <c r="C146" s="82" t="n">
        <f aca="false">IFERROR(__xludf.dummyfunction("""COMPUTED_VALUE"""),0)</f>
        <v>0</v>
      </c>
      <c r="D146" s="83" t="n">
        <f aca="false">IFERROR(__xludf.dummyfunction("""COMPUTED_VALUE"""),0)</f>
        <v>0</v>
      </c>
      <c r="E146" s="84" t="n">
        <f aca="false">IFERROR(__xludf.dummyfunction("""COMPUTED_VALUE"""),0)</f>
        <v>0</v>
      </c>
      <c r="F146" s="84" t="n">
        <f aca="false">IFERROR(__xludf.dummyfunction("""COMPUTED_VALUE"""),0)</f>
        <v>0</v>
      </c>
      <c r="G146" s="84" t="n">
        <f aca="false">IFERROR(__xludf.dummyfunction("""COMPUTED_VALUE"""),0)</f>
        <v>0</v>
      </c>
      <c r="H146" s="84" t="n">
        <f aca="false">IFERROR(__xludf.dummyfunction("""COMPUTED_VALUE"""),0)</f>
        <v>0</v>
      </c>
      <c r="I146" s="84" t="n">
        <f aca="false">IFERROR(__xludf.dummyfunction("""COMPUTED_VALUE"""),0)</f>
        <v>0</v>
      </c>
      <c r="J146" s="84" t="n">
        <f aca="false">IFERROR(__xludf.dummyfunction("""COMPUTED_VALUE"""),0)</f>
        <v>0</v>
      </c>
      <c r="K146" s="84" t="n">
        <f aca="false">IFERROR(__xludf.dummyfunction("""COMPUTED_VALUE"""),0)</f>
        <v>0</v>
      </c>
      <c r="L146" s="84" t="n">
        <f aca="false">IFERROR(__xludf.dummyfunction("""COMPUTED_VALUE"""),0)</f>
        <v>0</v>
      </c>
      <c r="M146" s="84" t="n">
        <f aca="false">IFERROR(__xludf.dummyfunction("""COMPUTED_VALUE"""),0)</f>
        <v>0</v>
      </c>
      <c r="N146" s="84" t="n">
        <f aca="false">IFERROR(__xludf.dummyfunction("""COMPUTED_VALUE"""),0)</f>
        <v>0</v>
      </c>
      <c r="O146" s="84" t="n">
        <f aca="false">IFERROR(__xludf.dummyfunction("""COMPUTED_VALUE"""),0)</f>
        <v>0</v>
      </c>
      <c r="P146" s="84" t="n">
        <f aca="false">IFERROR(__xludf.dummyfunction("""COMPUTED_VALUE"""),0)</f>
        <v>0</v>
      </c>
      <c r="Q146" s="84" t="n">
        <f aca="false">IFERROR(__xludf.dummyfunction("""COMPUTED_VALUE"""),0)</f>
        <v>0</v>
      </c>
      <c r="R146" s="84" t="n">
        <f aca="false">IFERROR(__xludf.dummyfunction("""COMPUTED_VALUE"""),0)</f>
        <v>0</v>
      </c>
      <c r="S146" s="84" t="n">
        <f aca="false">IFERROR(__xludf.dummyfunction("""COMPUTED_VALUE"""),0)</f>
        <v>0</v>
      </c>
      <c r="T146" s="84" t="n">
        <f aca="false">IFERROR(__xludf.dummyfunction("""COMPUTED_VALUE"""),0)</f>
        <v>0</v>
      </c>
      <c r="U146" s="84" t="n">
        <f aca="false">IFERROR(__xludf.dummyfunction("""COMPUTED_VALUE"""),0)</f>
        <v>0</v>
      </c>
      <c r="V146" s="84" t="n">
        <f aca="false">IFERROR(__xludf.dummyfunction("""COMPUTED_VALUE"""),0)</f>
        <v>0</v>
      </c>
      <c r="W146" s="84" t="n">
        <f aca="false">IFERROR(__xludf.dummyfunction("""COMPUTED_VALUE"""),0)</f>
        <v>0</v>
      </c>
      <c r="X146" s="84" t="n">
        <f aca="false">IFERROR(__xludf.dummyfunction("""COMPUTED_VALUE"""),0)</f>
        <v>0</v>
      </c>
      <c r="Y146" s="84" t="n">
        <f aca="false">IFERROR(__xludf.dummyfunction("""COMPUTED_VALUE"""),0)</f>
        <v>0</v>
      </c>
      <c r="Z146" s="84" t="n">
        <f aca="false">IFERROR(__xludf.dummyfunction("""COMPUTED_VALUE"""),0)</f>
        <v>0</v>
      </c>
      <c r="AA146" s="84" t="n">
        <f aca="false">IFERROR(__xludf.dummyfunction("""COMPUTED_VALUE"""),0)</f>
        <v>0</v>
      </c>
      <c r="AB146" s="84" t="n">
        <f aca="false">IFERROR(__xludf.dummyfunction("""COMPUTED_VALUE"""),0)</f>
        <v>0</v>
      </c>
      <c r="AC146" s="84" t="n">
        <f aca="false">IFERROR(__xludf.dummyfunction("""COMPUTED_VALUE"""),0)</f>
        <v>0</v>
      </c>
      <c r="AD146" s="84" t="n">
        <f aca="false">IFERROR(__xludf.dummyfunction("""COMPUTED_VALUE"""),0)</f>
        <v>0</v>
      </c>
      <c r="AE146" s="84" t="n">
        <f aca="false">IFERROR(__xludf.dummyfunction("""COMPUTED_VALUE"""),0)</f>
        <v>0</v>
      </c>
      <c r="AF146" s="84" t="n">
        <f aca="false">IFERROR(__xludf.dummyfunction("""COMPUTED_VALUE"""),0)</f>
        <v>0</v>
      </c>
      <c r="AG146" s="84" t="n">
        <f aca="false">IFERROR(__xludf.dummyfunction("""COMPUTED_VALUE"""),0)</f>
        <v>0</v>
      </c>
      <c r="AH146" s="84" t="n">
        <f aca="false">IFERROR(__xludf.dummyfunction("""COMPUTED_VALUE"""),0)</f>
        <v>0</v>
      </c>
      <c r="AI146" s="84" t="n">
        <f aca="false">IFERROR(__xludf.dummyfunction("""COMPUTED_VALUE"""),0)</f>
        <v>0</v>
      </c>
      <c r="AJ146" s="84" t="n">
        <f aca="false">IFERROR(__xludf.dummyfunction("""COMPUTED_VALUE"""),0)</f>
        <v>0</v>
      </c>
      <c r="AK146" s="84" t="n">
        <f aca="false">IFERROR(__xludf.dummyfunction("""COMPUTED_VALUE"""),0)</f>
        <v>0</v>
      </c>
      <c r="AL146" s="84" t="n">
        <f aca="false">IFERROR(__xludf.dummyfunction("""COMPUTED_VALUE"""),0)</f>
        <v>0</v>
      </c>
      <c r="AM146" s="84" t="n">
        <f aca="false">IFERROR(__xludf.dummyfunction("""COMPUTED_VALUE"""),0)</f>
        <v>0</v>
      </c>
      <c r="AN146" s="84" t="n">
        <f aca="false">IFERROR(__xludf.dummyfunction("""COMPUTED_VALUE"""),0)</f>
        <v>0</v>
      </c>
      <c r="AO146" s="84" t="n">
        <f aca="false">IFERROR(__xludf.dummyfunction("""COMPUTED_VALUE"""),0)</f>
        <v>0</v>
      </c>
      <c r="AP146" s="84" t="n">
        <f aca="false">IFERROR(__xludf.dummyfunction("""COMPUTED_VALUE"""),0)</f>
        <v>0</v>
      </c>
      <c r="AQ146" s="84" t="n">
        <f aca="false">IFERROR(__xludf.dummyfunction("""COMPUTED_VALUE"""),0)</f>
        <v>0</v>
      </c>
      <c r="AR146" s="84" t="n">
        <f aca="false">IFERROR(__xludf.dummyfunction("""COMPUTED_VALUE"""),0)</f>
        <v>0</v>
      </c>
      <c r="AS146" s="84" t="n">
        <f aca="false">IFERROR(__xludf.dummyfunction("""COMPUTED_VALUE"""),0)</f>
        <v>0</v>
      </c>
      <c r="AT146" s="84" t="n">
        <f aca="false">IFERROR(__xludf.dummyfunction("""COMPUTED_VALUE"""),0)</f>
        <v>0</v>
      </c>
      <c r="AU146" s="84" t="n">
        <f aca="false">IFERROR(__xludf.dummyfunction("""COMPUTED_VALUE"""),0)</f>
        <v>0</v>
      </c>
      <c r="AV146" s="84" t="n">
        <f aca="false">IFERROR(__xludf.dummyfunction("""COMPUTED_VALUE"""),0)</f>
        <v>0</v>
      </c>
      <c r="AW146" s="84" t="n">
        <f aca="false">IFERROR(__xludf.dummyfunction("""COMPUTED_VALUE"""),0)</f>
        <v>0</v>
      </c>
      <c r="AX146" s="84" t="n">
        <f aca="false">IFERROR(__xludf.dummyfunction("""COMPUTED_VALUE"""),0)</f>
        <v>0</v>
      </c>
      <c r="AY146" s="84" t="n">
        <f aca="false">IFERROR(__xludf.dummyfunction("""COMPUTED_VALUE"""),0)</f>
        <v>0</v>
      </c>
      <c r="AZ146" s="84" t="n">
        <f aca="false">IFERROR(__xludf.dummyfunction("""COMPUTED_VALUE"""),0)</f>
        <v>0</v>
      </c>
      <c r="BA146" s="84" t="n">
        <f aca="false">IFERROR(__xludf.dummyfunction("""COMPUTED_VALUE"""),0)</f>
        <v>0</v>
      </c>
    </row>
    <row r="147" customFormat="false" ht="15.75" hidden="false" customHeight="false" outlineLevel="0" collapsed="false">
      <c r="A147" s="78" t="str">
        <f aca="false">IFERROR(__xludf.dummyfunction("""COMPUTED_VALUE"""),"seller_unit_number")</f>
        <v>seller_unit_number</v>
      </c>
      <c r="B147" s="72" t="n">
        <f aca="false">IFERROR(__xludf.dummyfunction("""COMPUTED_VALUE"""),0)</f>
        <v>0</v>
      </c>
      <c r="C147" s="82" t="n">
        <f aca="false">IFERROR(__xludf.dummyfunction("""COMPUTED_VALUE"""),0)</f>
        <v>0</v>
      </c>
      <c r="D147" s="83" t="n">
        <f aca="false">IFERROR(__xludf.dummyfunction("""COMPUTED_VALUE"""),0)</f>
        <v>0</v>
      </c>
      <c r="E147" s="84" t="n">
        <f aca="false">IFERROR(__xludf.dummyfunction("""COMPUTED_VALUE"""),0)</f>
        <v>0</v>
      </c>
      <c r="F147" s="84" t="n">
        <f aca="false">IFERROR(__xludf.dummyfunction("""COMPUTED_VALUE"""),0)</f>
        <v>0</v>
      </c>
      <c r="G147" s="84" t="n">
        <f aca="false">IFERROR(__xludf.dummyfunction("""COMPUTED_VALUE"""),0)</f>
        <v>0</v>
      </c>
      <c r="H147" s="84" t="n">
        <f aca="false">IFERROR(__xludf.dummyfunction("""COMPUTED_VALUE"""),0)</f>
        <v>0</v>
      </c>
      <c r="I147" s="84" t="n">
        <f aca="false">IFERROR(__xludf.dummyfunction("""COMPUTED_VALUE"""),0)</f>
        <v>0</v>
      </c>
      <c r="J147" s="84" t="n">
        <f aca="false">IFERROR(__xludf.dummyfunction("""COMPUTED_VALUE"""),0)</f>
        <v>0</v>
      </c>
      <c r="K147" s="84" t="n">
        <f aca="false">IFERROR(__xludf.dummyfunction("""COMPUTED_VALUE"""),0)</f>
        <v>0</v>
      </c>
      <c r="L147" s="84" t="n">
        <f aca="false">IFERROR(__xludf.dummyfunction("""COMPUTED_VALUE"""),0)</f>
        <v>0</v>
      </c>
      <c r="M147" s="84" t="n">
        <f aca="false">IFERROR(__xludf.dummyfunction("""COMPUTED_VALUE"""),0)</f>
        <v>0</v>
      </c>
      <c r="N147" s="84" t="n">
        <f aca="false">IFERROR(__xludf.dummyfunction("""COMPUTED_VALUE"""),0)</f>
        <v>0</v>
      </c>
      <c r="O147" s="84" t="n">
        <f aca="false">IFERROR(__xludf.dummyfunction("""COMPUTED_VALUE"""),0)</f>
        <v>0</v>
      </c>
      <c r="P147" s="84" t="n">
        <f aca="false">IFERROR(__xludf.dummyfunction("""COMPUTED_VALUE"""),0)</f>
        <v>0</v>
      </c>
      <c r="Q147" s="84" t="n">
        <f aca="false">IFERROR(__xludf.dummyfunction("""COMPUTED_VALUE"""),0)</f>
        <v>0</v>
      </c>
      <c r="R147" s="84" t="n">
        <f aca="false">IFERROR(__xludf.dummyfunction("""COMPUTED_VALUE"""),0)</f>
        <v>0</v>
      </c>
      <c r="S147" s="84" t="n">
        <f aca="false">IFERROR(__xludf.dummyfunction("""COMPUTED_VALUE"""),0)</f>
        <v>0</v>
      </c>
      <c r="T147" s="84" t="n">
        <f aca="false">IFERROR(__xludf.dummyfunction("""COMPUTED_VALUE"""),0)</f>
        <v>0</v>
      </c>
      <c r="U147" s="84" t="n">
        <f aca="false">IFERROR(__xludf.dummyfunction("""COMPUTED_VALUE"""),0)</f>
        <v>0</v>
      </c>
      <c r="V147" s="84" t="n">
        <f aca="false">IFERROR(__xludf.dummyfunction("""COMPUTED_VALUE"""),0)</f>
        <v>0</v>
      </c>
      <c r="W147" s="84" t="n">
        <f aca="false">IFERROR(__xludf.dummyfunction("""COMPUTED_VALUE"""),0)</f>
        <v>0</v>
      </c>
      <c r="X147" s="84" t="n">
        <f aca="false">IFERROR(__xludf.dummyfunction("""COMPUTED_VALUE"""),0)</f>
        <v>0</v>
      </c>
      <c r="Y147" s="84" t="n">
        <f aca="false">IFERROR(__xludf.dummyfunction("""COMPUTED_VALUE"""),0)</f>
        <v>0</v>
      </c>
      <c r="Z147" s="84" t="n">
        <f aca="false">IFERROR(__xludf.dummyfunction("""COMPUTED_VALUE"""),0)</f>
        <v>0</v>
      </c>
      <c r="AA147" s="84" t="n">
        <f aca="false">IFERROR(__xludf.dummyfunction("""COMPUTED_VALUE"""),0)</f>
        <v>0</v>
      </c>
      <c r="AB147" s="84" t="n">
        <f aca="false">IFERROR(__xludf.dummyfunction("""COMPUTED_VALUE"""),0)</f>
        <v>0</v>
      </c>
      <c r="AC147" s="84" t="n">
        <f aca="false">IFERROR(__xludf.dummyfunction("""COMPUTED_VALUE"""),0)</f>
        <v>0</v>
      </c>
      <c r="AD147" s="84" t="n">
        <f aca="false">IFERROR(__xludf.dummyfunction("""COMPUTED_VALUE"""),0)</f>
        <v>0</v>
      </c>
      <c r="AE147" s="84" t="n">
        <f aca="false">IFERROR(__xludf.dummyfunction("""COMPUTED_VALUE"""),0)</f>
        <v>0</v>
      </c>
      <c r="AF147" s="84" t="n">
        <f aca="false">IFERROR(__xludf.dummyfunction("""COMPUTED_VALUE"""),0)</f>
        <v>0</v>
      </c>
      <c r="AG147" s="84" t="n">
        <f aca="false">IFERROR(__xludf.dummyfunction("""COMPUTED_VALUE"""),0)</f>
        <v>0</v>
      </c>
      <c r="AH147" s="84" t="n">
        <f aca="false">IFERROR(__xludf.dummyfunction("""COMPUTED_VALUE"""),0)</f>
        <v>0</v>
      </c>
      <c r="AI147" s="84" t="n">
        <f aca="false">IFERROR(__xludf.dummyfunction("""COMPUTED_VALUE"""),0)</f>
        <v>0</v>
      </c>
      <c r="AJ147" s="84" t="n">
        <f aca="false">IFERROR(__xludf.dummyfunction("""COMPUTED_VALUE"""),0)</f>
        <v>0</v>
      </c>
      <c r="AK147" s="84" t="n">
        <f aca="false">IFERROR(__xludf.dummyfunction("""COMPUTED_VALUE"""),0)</f>
        <v>0</v>
      </c>
      <c r="AL147" s="84" t="n">
        <f aca="false">IFERROR(__xludf.dummyfunction("""COMPUTED_VALUE"""),0)</f>
        <v>0</v>
      </c>
      <c r="AM147" s="84" t="n">
        <f aca="false">IFERROR(__xludf.dummyfunction("""COMPUTED_VALUE"""),0)</f>
        <v>0</v>
      </c>
      <c r="AN147" s="84" t="n">
        <f aca="false">IFERROR(__xludf.dummyfunction("""COMPUTED_VALUE"""),0)</f>
        <v>0</v>
      </c>
      <c r="AO147" s="84" t="n">
        <f aca="false">IFERROR(__xludf.dummyfunction("""COMPUTED_VALUE"""),0)</f>
        <v>0</v>
      </c>
      <c r="AP147" s="84" t="n">
        <f aca="false">IFERROR(__xludf.dummyfunction("""COMPUTED_VALUE"""),0)</f>
        <v>0</v>
      </c>
      <c r="AQ147" s="84" t="n">
        <f aca="false">IFERROR(__xludf.dummyfunction("""COMPUTED_VALUE"""),0)</f>
        <v>0</v>
      </c>
      <c r="AR147" s="84" t="n">
        <f aca="false">IFERROR(__xludf.dummyfunction("""COMPUTED_VALUE"""),0)</f>
        <v>0</v>
      </c>
      <c r="AS147" s="84" t="n">
        <f aca="false">IFERROR(__xludf.dummyfunction("""COMPUTED_VALUE"""),0)</f>
        <v>0</v>
      </c>
      <c r="AT147" s="84" t="n">
        <f aca="false">IFERROR(__xludf.dummyfunction("""COMPUTED_VALUE"""),0)</f>
        <v>0</v>
      </c>
      <c r="AU147" s="84" t="n">
        <f aca="false">IFERROR(__xludf.dummyfunction("""COMPUTED_VALUE"""),0)</f>
        <v>0</v>
      </c>
      <c r="AV147" s="84" t="n">
        <f aca="false">IFERROR(__xludf.dummyfunction("""COMPUTED_VALUE"""),0)</f>
        <v>0</v>
      </c>
      <c r="AW147" s="84" t="n">
        <f aca="false">IFERROR(__xludf.dummyfunction("""COMPUTED_VALUE"""),0)</f>
        <v>0</v>
      </c>
      <c r="AX147" s="84" t="n">
        <f aca="false">IFERROR(__xludf.dummyfunction("""COMPUTED_VALUE"""),0)</f>
        <v>0</v>
      </c>
      <c r="AY147" s="84" t="n">
        <f aca="false">IFERROR(__xludf.dummyfunction("""COMPUTED_VALUE"""),0)</f>
        <v>0</v>
      </c>
      <c r="AZ147" s="84" t="n">
        <f aca="false">IFERROR(__xludf.dummyfunction("""COMPUTED_VALUE"""),0)</f>
        <v>0</v>
      </c>
      <c r="BA147" s="84" t="n">
        <f aca="false">IFERROR(__xludf.dummyfunction("""COMPUTED_VALUE"""),0)</f>
        <v>0</v>
      </c>
    </row>
    <row r="148" customFormat="false" ht="15.75" hidden="false" customHeight="false" outlineLevel="0" collapsed="false">
      <c r="A148" s="78" t="str">
        <f aca="false">IFERROR(__xludf.dummyfunction("""COMPUTED_VALUE"""),"seller_city")</f>
        <v>seller_city</v>
      </c>
      <c r="B148" s="72" t="n">
        <f aca="false">IFERROR(__xludf.dummyfunction("""COMPUTED_VALUE"""),0)</f>
        <v>0</v>
      </c>
      <c r="C148" s="82" t="n">
        <f aca="false">IFERROR(__xludf.dummyfunction("""COMPUTED_VALUE"""),0)</f>
        <v>0</v>
      </c>
      <c r="D148" s="83" t="n">
        <f aca="false">IFERROR(__xludf.dummyfunction("""COMPUTED_VALUE"""),0)</f>
        <v>0</v>
      </c>
      <c r="E148" s="84" t="n">
        <f aca="false">IFERROR(__xludf.dummyfunction("""COMPUTED_VALUE"""),0)</f>
        <v>0</v>
      </c>
      <c r="F148" s="84" t="n">
        <f aca="false">IFERROR(__xludf.dummyfunction("""COMPUTED_VALUE"""),0)</f>
        <v>0</v>
      </c>
      <c r="G148" s="84" t="n">
        <f aca="false">IFERROR(__xludf.dummyfunction("""COMPUTED_VALUE"""),0)</f>
        <v>0</v>
      </c>
      <c r="H148" s="84" t="n">
        <f aca="false">IFERROR(__xludf.dummyfunction("""COMPUTED_VALUE"""),0)</f>
        <v>0</v>
      </c>
      <c r="I148" s="84" t="n">
        <f aca="false">IFERROR(__xludf.dummyfunction("""COMPUTED_VALUE"""),0)</f>
        <v>0</v>
      </c>
      <c r="J148" s="84" t="n">
        <f aca="false">IFERROR(__xludf.dummyfunction("""COMPUTED_VALUE"""),0)</f>
        <v>0</v>
      </c>
      <c r="K148" s="84" t="n">
        <f aca="false">IFERROR(__xludf.dummyfunction("""COMPUTED_VALUE"""),0)</f>
        <v>0</v>
      </c>
      <c r="L148" s="84" t="n">
        <f aca="false">IFERROR(__xludf.dummyfunction("""COMPUTED_VALUE"""),0)</f>
        <v>0</v>
      </c>
      <c r="M148" s="84" t="n">
        <f aca="false">IFERROR(__xludf.dummyfunction("""COMPUTED_VALUE"""),0)</f>
        <v>0</v>
      </c>
      <c r="N148" s="84" t="n">
        <f aca="false">IFERROR(__xludf.dummyfunction("""COMPUTED_VALUE"""),0)</f>
        <v>0</v>
      </c>
      <c r="O148" s="84" t="n">
        <f aca="false">IFERROR(__xludf.dummyfunction("""COMPUTED_VALUE"""),0)</f>
        <v>0</v>
      </c>
      <c r="P148" s="84" t="n">
        <f aca="false">IFERROR(__xludf.dummyfunction("""COMPUTED_VALUE"""),0)</f>
        <v>0</v>
      </c>
      <c r="Q148" s="84" t="n">
        <f aca="false">IFERROR(__xludf.dummyfunction("""COMPUTED_VALUE"""),0)</f>
        <v>0</v>
      </c>
      <c r="R148" s="84" t="n">
        <f aca="false">IFERROR(__xludf.dummyfunction("""COMPUTED_VALUE"""),0)</f>
        <v>0</v>
      </c>
      <c r="S148" s="84" t="n">
        <f aca="false">IFERROR(__xludf.dummyfunction("""COMPUTED_VALUE"""),0)</f>
        <v>0</v>
      </c>
      <c r="T148" s="84" t="n">
        <f aca="false">IFERROR(__xludf.dummyfunction("""COMPUTED_VALUE"""),0)</f>
        <v>0</v>
      </c>
      <c r="U148" s="84" t="n">
        <f aca="false">IFERROR(__xludf.dummyfunction("""COMPUTED_VALUE"""),0)</f>
        <v>0</v>
      </c>
      <c r="V148" s="84" t="n">
        <f aca="false">IFERROR(__xludf.dummyfunction("""COMPUTED_VALUE"""),0)</f>
        <v>0</v>
      </c>
      <c r="W148" s="84" t="n">
        <f aca="false">IFERROR(__xludf.dummyfunction("""COMPUTED_VALUE"""),0)</f>
        <v>0</v>
      </c>
      <c r="X148" s="84" t="n">
        <f aca="false">IFERROR(__xludf.dummyfunction("""COMPUTED_VALUE"""),0)</f>
        <v>0</v>
      </c>
      <c r="Y148" s="84" t="n">
        <f aca="false">IFERROR(__xludf.dummyfunction("""COMPUTED_VALUE"""),0)</f>
        <v>0</v>
      </c>
      <c r="Z148" s="84" t="n">
        <f aca="false">IFERROR(__xludf.dummyfunction("""COMPUTED_VALUE"""),0)</f>
        <v>0</v>
      </c>
      <c r="AA148" s="84" t="n">
        <f aca="false">IFERROR(__xludf.dummyfunction("""COMPUTED_VALUE"""),0)</f>
        <v>0</v>
      </c>
      <c r="AB148" s="84" t="n">
        <f aca="false">IFERROR(__xludf.dummyfunction("""COMPUTED_VALUE"""),0)</f>
        <v>0</v>
      </c>
      <c r="AC148" s="84" t="n">
        <f aca="false">IFERROR(__xludf.dummyfunction("""COMPUTED_VALUE"""),0)</f>
        <v>0</v>
      </c>
      <c r="AD148" s="84" t="n">
        <f aca="false">IFERROR(__xludf.dummyfunction("""COMPUTED_VALUE"""),0)</f>
        <v>0</v>
      </c>
      <c r="AE148" s="84" t="n">
        <f aca="false">IFERROR(__xludf.dummyfunction("""COMPUTED_VALUE"""),0)</f>
        <v>0</v>
      </c>
      <c r="AF148" s="84" t="n">
        <f aca="false">IFERROR(__xludf.dummyfunction("""COMPUTED_VALUE"""),0)</f>
        <v>0</v>
      </c>
      <c r="AG148" s="84" t="n">
        <f aca="false">IFERROR(__xludf.dummyfunction("""COMPUTED_VALUE"""),0)</f>
        <v>0</v>
      </c>
      <c r="AH148" s="84" t="n">
        <f aca="false">IFERROR(__xludf.dummyfunction("""COMPUTED_VALUE"""),0)</f>
        <v>0</v>
      </c>
      <c r="AI148" s="84" t="n">
        <f aca="false">IFERROR(__xludf.dummyfunction("""COMPUTED_VALUE"""),0)</f>
        <v>0</v>
      </c>
      <c r="AJ148" s="84" t="n">
        <f aca="false">IFERROR(__xludf.dummyfunction("""COMPUTED_VALUE"""),0)</f>
        <v>0</v>
      </c>
      <c r="AK148" s="84" t="n">
        <f aca="false">IFERROR(__xludf.dummyfunction("""COMPUTED_VALUE"""),0)</f>
        <v>0</v>
      </c>
      <c r="AL148" s="84" t="n">
        <f aca="false">IFERROR(__xludf.dummyfunction("""COMPUTED_VALUE"""),0)</f>
        <v>0</v>
      </c>
      <c r="AM148" s="84" t="n">
        <f aca="false">IFERROR(__xludf.dummyfunction("""COMPUTED_VALUE"""),0)</f>
        <v>0</v>
      </c>
      <c r="AN148" s="84" t="n">
        <f aca="false">IFERROR(__xludf.dummyfunction("""COMPUTED_VALUE"""),0)</f>
        <v>0</v>
      </c>
      <c r="AO148" s="84" t="n">
        <f aca="false">IFERROR(__xludf.dummyfunction("""COMPUTED_VALUE"""),0)</f>
        <v>0</v>
      </c>
      <c r="AP148" s="84" t="n">
        <f aca="false">IFERROR(__xludf.dummyfunction("""COMPUTED_VALUE"""),0)</f>
        <v>0</v>
      </c>
      <c r="AQ148" s="84" t="n">
        <f aca="false">IFERROR(__xludf.dummyfunction("""COMPUTED_VALUE"""),0)</f>
        <v>0</v>
      </c>
      <c r="AR148" s="84" t="n">
        <f aca="false">IFERROR(__xludf.dummyfunction("""COMPUTED_VALUE"""),0)</f>
        <v>0</v>
      </c>
      <c r="AS148" s="84" t="n">
        <f aca="false">IFERROR(__xludf.dummyfunction("""COMPUTED_VALUE"""),0)</f>
        <v>0</v>
      </c>
      <c r="AT148" s="84" t="n">
        <f aca="false">IFERROR(__xludf.dummyfunction("""COMPUTED_VALUE"""),0)</f>
        <v>0</v>
      </c>
      <c r="AU148" s="84" t="n">
        <f aca="false">IFERROR(__xludf.dummyfunction("""COMPUTED_VALUE"""),0)</f>
        <v>0</v>
      </c>
      <c r="AV148" s="84" t="n">
        <f aca="false">IFERROR(__xludf.dummyfunction("""COMPUTED_VALUE"""),0)</f>
        <v>0</v>
      </c>
      <c r="AW148" s="84" t="n">
        <f aca="false">IFERROR(__xludf.dummyfunction("""COMPUTED_VALUE"""),0)</f>
        <v>0</v>
      </c>
      <c r="AX148" s="84" t="n">
        <f aca="false">IFERROR(__xludf.dummyfunction("""COMPUTED_VALUE"""),0)</f>
        <v>0</v>
      </c>
      <c r="AY148" s="84" t="n">
        <f aca="false">IFERROR(__xludf.dummyfunction("""COMPUTED_VALUE"""),0)</f>
        <v>0</v>
      </c>
      <c r="AZ148" s="84" t="n">
        <f aca="false">IFERROR(__xludf.dummyfunction("""COMPUTED_VALUE"""),0)</f>
        <v>0</v>
      </c>
      <c r="BA148" s="84" t="n">
        <f aca="false">IFERROR(__xludf.dummyfunction("""COMPUTED_VALUE"""),0)</f>
        <v>0</v>
      </c>
    </row>
    <row r="149" customFormat="false" ht="15.75" hidden="false" customHeight="false" outlineLevel="0" collapsed="false">
      <c r="A149" s="78" t="str">
        <f aca="false">IFERROR(__xludf.dummyfunction("""COMPUTED_VALUE"""),"seller_state")</f>
        <v>seller_state</v>
      </c>
      <c r="B149" s="72" t="n">
        <f aca="false">IFERROR(__xludf.dummyfunction("""COMPUTED_VALUE"""),0)</f>
        <v>0</v>
      </c>
      <c r="C149" s="82" t="n">
        <f aca="false">IFERROR(__xludf.dummyfunction("""COMPUTED_VALUE"""),0)</f>
        <v>0</v>
      </c>
      <c r="D149" s="83" t="n">
        <f aca="false">IFERROR(__xludf.dummyfunction("""COMPUTED_VALUE"""),0)</f>
        <v>0</v>
      </c>
      <c r="E149" s="84" t="n">
        <f aca="false">IFERROR(__xludf.dummyfunction("""COMPUTED_VALUE"""),0)</f>
        <v>0</v>
      </c>
      <c r="F149" s="84" t="n">
        <f aca="false">IFERROR(__xludf.dummyfunction("""COMPUTED_VALUE"""),0)</f>
        <v>0</v>
      </c>
      <c r="G149" s="84" t="n">
        <f aca="false">IFERROR(__xludf.dummyfunction("""COMPUTED_VALUE"""),0)</f>
        <v>0</v>
      </c>
      <c r="H149" s="84" t="n">
        <f aca="false">IFERROR(__xludf.dummyfunction("""COMPUTED_VALUE"""),0)</f>
        <v>0</v>
      </c>
      <c r="I149" s="84" t="n">
        <f aca="false">IFERROR(__xludf.dummyfunction("""COMPUTED_VALUE"""),0)</f>
        <v>0</v>
      </c>
      <c r="J149" s="84" t="n">
        <f aca="false">IFERROR(__xludf.dummyfunction("""COMPUTED_VALUE"""),0)</f>
        <v>0</v>
      </c>
      <c r="K149" s="84" t="n">
        <f aca="false">IFERROR(__xludf.dummyfunction("""COMPUTED_VALUE"""),0)</f>
        <v>0</v>
      </c>
      <c r="L149" s="84" t="n">
        <f aca="false">IFERROR(__xludf.dummyfunction("""COMPUTED_VALUE"""),0)</f>
        <v>0</v>
      </c>
      <c r="M149" s="84" t="n">
        <f aca="false">IFERROR(__xludf.dummyfunction("""COMPUTED_VALUE"""),0)</f>
        <v>0</v>
      </c>
      <c r="N149" s="84" t="n">
        <f aca="false">IFERROR(__xludf.dummyfunction("""COMPUTED_VALUE"""),0)</f>
        <v>0</v>
      </c>
      <c r="O149" s="84" t="n">
        <f aca="false">IFERROR(__xludf.dummyfunction("""COMPUTED_VALUE"""),0)</f>
        <v>0</v>
      </c>
      <c r="P149" s="84" t="n">
        <f aca="false">IFERROR(__xludf.dummyfunction("""COMPUTED_VALUE"""),0)</f>
        <v>0</v>
      </c>
      <c r="Q149" s="84" t="n">
        <f aca="false">IFERROR(__xludf.dummyfunction("""COMPUTED_VALUE"""),0)</f>
        <v>0</v>
      </c>
      <c r="R149" s="84" t="n">
        <f aca="false">IFERROR(__xludf.dummyfunction("""COMPUTED_VALUE"""),0)</f>
        <v>0</v>
      </c>
      <c r="S149" s="84" t="n">
        <f aca="false">IFERROR(__xludf.dummyfunction("""COMPUTED_VALUE"""),0)</f>
        <v>0</v>
      </c>
      <c r="T149" s="84" t="n">
        <f aca="false">IFERROR(__xludf.dummyfunction("""COMPUTED_VALUE"""),0)</f>
        <v>0</v>
      </c>
      <c r="U149" s="84" t="n">
        <f aca="false">IFERROR(__xludf.dummyfunction("""COMPUTED_VALUE"""),0)</f>
        <v>0</v>
      </c>
      <c r="V149" s="84" t="n">
        <f aca="false">IFERROR(__xludf.dummyfunction("""COMPUTED_VALUE"""),0)</f>
        <v>0</v>
      </c>
      <c r="W149" s="84" t="n">
        <f aca="false">IFERROR(__xludf.dummyfunction("""COMPUTED_VALUE"""),0)</f>
        <v>0</v>
      </c>
      <c r="X149" s="84" t="n">
        <f aca="false">IFERROR(__xludf.dummyfunction("""COMPUTED_VALUE"""),0)</f>
        <v>0</v>
      </c>
      <c r="Y149" s="84" t="n">
        <f aca="false">IFERROR(__xludf.dummyfunction("""COMPUTED_VALUE"""),0)</f>
        <v>0</v>
      </c>
      <c r="Z149" s="84" t="n">
        <f aca="false">IFERROR(__xludf.dummyfunction("""COMPUTED_VALUE"""),0)</f>
        <v>0</v>
      </c>
      <c r="AA149" s="84" t="n">
        <f aca="false">IFERROR(__xludf.dummyfunction("""COMPUTED_VALUE"""),0)</f>
        <v>0</v>
      </c>
      <c r="AB149" s="84" t="n">
        <f aca="false">IFERROR(__xludf.dummyfunction("""COMPUTED_VALUE"""),0)</f>
        <v>0</v>
      </c>
      <c r="AC149" s="84" t="n">
        <f aca="false">IFERROR(__xludf.dummyfunction("""COMPUTED_VALUE"""),0)</f>
        <v>0</v>
      </c>
      <c r="AD149" s="84" t="n">
        <f aca="false">IFERROR(__xludf.dummyfunction("""COMPUTED_VALUE"""),0)</f>
        <v>0</v>
      </c>
      <c r="AE149" s="84" t="n">
        <f aca="false">IFERROR(__xludf.dummyfunction("""COMPUTED_VALUE"""),0)</f>
        <v>0</v>
      </c>
      <c r="AF149" s="84" t="n">
        <f aca="false">IFERROR(__xludf.dummyfunction("""COMPUTED_VALUE"""),0)</f>
        <v>0</v>
      </c>
      <c r="AG149" s="84" t="n">
        <f aca="false">IFERROR(__xludf.dummyfunction("""COMPUTED_VALUE"""),0)</f>
        <v>0</v>
      </c>
      <c r="AH149" s="84" t="n">
        <f aca="false">IFERROR(__xludf.dummyfunction("""COMPUTED_VALUE"""),0)</f>
        <v>0</v>
      </c>
      <c r="AI149" s="84" t="n">
        <f aca="false">IFERROR(__xludf.dummyfunction("""COMPUTED_VALUE"""),0)</f>
        <v>0</v>
      </c>
      <c r="AJ149" s="84" t="n">
        <f aca="false">IFERROR(__xludf.dummyfunction("""COMPUTED_VALUE"""),0)</f>
        <v>0</v>
      </c>
      <c r="AK149" s="84" t="n">
        <f aca="false">IFERROR(__xludf.dummyfunction("""COMPUTED_VALUE"""),0)</f>
        <v>0</v>
      </c>
      <c r="AL149" s="84" t="n">
        <f aca="false">IFERROR(__xludf.dummyfunction("""COMPUTED_VALUE"""),0)</f>
        <v>0</v>
      </c>
      <c r="AM149" s="84" t="n">
        <f aca="false">IFERROR(__xludf.dummyfunction("""COMPUTED_VALUE"""),0)</f>
        <v>0</v>
      </c>
      <c r="AN149" s="84" t="n">
        <f aca="false">IFERROR(__xludf.dummyfunction("""COMPUTED_VALUE"""),0)</f>
        <v>0</v>
      </c>
      <c r="AO149" s="84" t="n">
        <f aca="false">IFERROR(__xludf.dummyfunction("""COMPUTED_VALUE"""),0)</f>
        <v>0</v>
      </c>
      <c r="AP149" s="84" t="n">
        <f aca="false">IFERROR(__xludf.dummyfunction("""COMPUTED_VALUE"""),0)</f>
        <v>0</v>
      </c>
      <c r="AQ149" s="84" t="n">
        <f aca="false">IFERROR(__xludf.dummyfunction("""COMPUTED_VALUE"""),0)</f>
        <v>0</v>
      </c>
      <c r="AR149" s="84" t="n">
        <f aca="false">IFERROR(__xludf.dummyfunction("""COMPUTED_VALUE"""),0)</f>
        <v>0</v>
      </c>
      <c r="AS149" s="84" t="n">
        <f aca="false">IFERROR(__xludf.dummyfunction("""COMPUTED_VALUE"""),0)</f>
        <v>0</v>
      </c>
      <c r="AT149" s="84" t="n">
        <f aca="false">IFERROR(__xludf.dummyfunction("""COMPUTED_VALUE"""),0)</f>
        <v>0</v>
      </c>
      <c r="AU149" s="84" t="n">
        <f aca="false">IFERROR(__xludf.dummyfunction("""COMPUTED_VALUE"""),0)</f>
        <v>0</v>
      </c>
      <c r="AV149" s="84" t="n">
        <f aca="false">IFERROR(__xludf.dummyfunction("""COMPUTED_VALUE"""),0)</f>
        <v>0</v>
      </c>
      <c r="AW149" s="84" t="n">
        <f aca="false">IFERROR(__xludf.dummyfunction("""COMPUTED_VALUE"""),0)</f>
        <v>0</v>
      </c>
      <c r="AX149" s="84" t="n">
        <f aca="false">IFERROR(__xludf.dummyfunction("""COMPUTED_VALUE"""),0)</f>
        <v>0</v>
      </c>
      <c r="AY149" s="84" t="n">
        <f aca="false">IFERROR(__xludf.dummyfunction("""COMPUTED_VALUE"""),0)</f>
        <v>0</v>
      </c>
      <c r="AZ149" s="84" t="n">
        <f aca="false">IFERROR(__xludf.dummyfunction("""COMPUTED_VALUE"""),0)</f>
        <v>0</v>
      </c>
      <c r="BA149" s="84" t="n">
        <f aca="false">IFERROR(__xludf.dummyfunction("""COMPUTED_VALUE"""),0)</f>
        <v>0</v>
      </c>
    </row>
    <row r="150" customFormat="false" ht="15.75" hidden="false" customHeight="false" outlineLevel="0" collapsed="false">
      <c r="A150" s="78" t="str">
        <f aca="false">IFERROR(__xludf.dummyfunction("""COMPUTED_VALUE"""),"seller_zip_code")</f>
        <v>seller_zip_code</v>
      </c>
      <c r="B150" s="72" t="n">
        <f aca="false">IFERROR(__xludf.dummyfunction("""COMPUTED_VALUE"""),0)</f>
        <v>0</v>
      </c>
      <c r="C150" s="82" t="n">
        <f aca="false">IFERROR(__xludf.dummyfunction("""COMPUTED_VALUE"""),0)</f>
        <v>0</v>
      </c>
      <c r="D150" s="83" t="n">
        <f aca="false">IFERROR(__xludf.dummyfunction("""COMPUTED_VALUE"""),0)</f>
        <v>0</v>
      </c>
      <c r="E150" s="84" t="n">
        <f aca="false">IFERROR(__xludf.dummyfunction("""COMPUTED_VALUE"""),0)</f>
        <v>0</v>
      </c>
      <c r="F150" s="84" t="n">
        <f aca="false">IFERROR(__xludf.dummyfunction("""COMPUTED_VALUE"""),0)</f>
        <v>0</v>
      </c>
      <c r="G150" s="84" t="n">
        <f aca="false">IFERROR(__xludf.dummyfunction("""COMPUTED_VALUE"""),0)</f>
        <v>0</v>
      </c>
      <c r="H150" s="84" t="n">
        <f aca="false">IFERROR(__xludf.dummyfunction("""COMPUTED_VALUE"""),0)</f>
        <v>0</v>
      </c>
      <c r="I150" s="84" t="n">
        <f aca="false">IFERROR(__xludf.dummyfunction("""COMPUTED_VALUE"""),0)</f>
        <v>0</v>
      </c>
      <c r="J150" s="84" t="n">
        <f aca="false">IFERROR(__xludf.dummyfunction("""COMPUTED_VALUE"""),0)</f>
        <v>0</v>
      </c>
      <c r="K150" s="84" t="n">
        <f aca="false">IFERROR(__xludf.dummyfunction("""COMPUTED_VALUE"""),0)</f>
        <v>0</v>
      </c>
      <c r="L150" s="84" t="n">
        <f aca="false">IFERROR(__xludf.dummyfunction("""COMPUTED_VALUE"""),0)</f>
        <v>0</v>
      </c>
      <c r="M150" s="84" t="n">
        <f aca="false">IFERROR(__xludf.dummyfunction("""COMPUTED_VALUE"""),0)</f>
        <v>0</v>
      </c>
      <c r="N150" s="84" t="n">
        <f aca="false">IFERROR(__xludf.dummyfunction("""COMPUTED_VALUE"""),0)</f>
        <v>0</v>
      </c>
      <c r="O150" s="84" t="n">
        <f aca="false">IFERROR(__xludf.dummyfunction("""COMPUTED_VALUE"""),0)</f>
        <v>0</v>
      </c>
      <c r="P150" s="84" t="n">
        <f aca="false">IFERROR(__xludf.dummyfunction("""COMPUTED_VALUE"""),0)</f>
        <v>0</v>
      </c>
      <c r="Q150" s="84" t="n">
        <f aca="false">IFERROR(__xludf.dummyfunction("""COMPUTED_VALUE"""),0)</f>
        <v>0</v>
      </c>
      <c r="R150" s="84" t="n">
        <f aca="false">IFERROR(__xludf.dummyfunction("""COMPUTED_VALUE"""),0)</f>
        <v>0</v>
      </c>
      <c r="S150" s="84" t="n">
        <f aca="false">IFERROR(__xludf.dummyfunction("""COMPUTED_VALUE"""),0)</f>
        <v>0</v>
      </c>
      <c r="T150" s="84" t="n">
        <f aca="false">IFERROR(__xludf.dummyfunction("""COMPUTED_VALUE"""),0)</f>
        <v>0</v>
      </c>
      <c r="U150" s="84" t="n">
        <f aca="false">IFERROR(__xludf.dummyfunction("""COMPUTED_VALUE"""),0)</f>
        <v>0</v>
      </c>
      <c r="V150" s="84" t="n">
        <f aca="false">IFERROR(__xludf.dummyfunction("""COMPUTED_VALUE"""),0)</f>
        <v>0</v>
      </c>
      <c r="W150" s="84" t="n">
        <f aca="false">IFERROR(__xludf.dummyfunction("""COMPUTED_VALUE"""),0)</f>
        <v>0</v>
      </c>
      <c r="X150" s="84" t="n">
        <f aca="false">IFERROR(__xludf.dummyfunction("""COMPUTED_VALUE"""),0)</f>
        <v>0</v>
      </c>
      <c r="Y150" s="84" t="n">
        <f aca="false">IFERROR(__xludf.dummyfunction("""COMPUTED_VALUE"""),0)</f>
        <v>0</v>
      </c>
      <c r="Z150" s="84" t="n">
        <f aca="false">IFERROR(__xludf.dummyfunction("""COMPUTED_VALUE"""),0)</f>
        <v>0</v>
      </c>
      <c r="AA150" s="84" t="n">
        <f aca="false">IFERROR(__xludf.dummyfunction("""COMPUTED_VALUE"""),0)</f>
        <v>0</v>
      </c>
      <c r="AB150" s="84" t="n">
        <f aca="false">IFERROR(__xludf.dummyfunction("""COMPUTED_VALUE"""),0)</f>
        <v>0</v>
      </c>
      <c r="AC150" s="84" t="n">
        <f aca="false">IFERROR(__xludf.dummyfunction("""COMPUTED_VALUE"""),0)</f>
        <v>0</v>
      </c>
      <c r="AD150" s="84" t="n">
        <f aca="false">IFERROR(__xludf.dummyfunction("""COMPUTED_VALUE"""),0)</f>
        <v>0</v>
      </c>
      <c r="AE150" s="84" t="n">
        <f aca="false">IFERROR(__xludf.dummyfunction("""COMPUTED_VALUE"""),0)</f>
        <v>0</v>
      </c>
      <c r="AF150" s="84" t="n">
        <f aca="false">IFERROR(__xludf.dummyfunction("""COMPUTED_VALUE"""),0)</f>
        <v>0</v>
      </c>
      <c r="AG150" s="84" t="n">
        <f aca="false">IFERROR(__xludf.dummyfunction("""COMPUTED_VALUE"""),0)</f>
        <v>0</v>
      </c>
      <c r="AH150" s="84" t="n">
        <f aca="false">IFERROR(__xludf.dummyfunction("""COMPUTED_VALUE"""),0)</f>
        <v>0</v>
      </c>
      <c r="AI150" s="84" t="n">
        <f aca="false">IFERROR(__xludf.dummyfunction("""COMPUTED_VALUE"""),0)</f>
        <v>0</v>
      </c>
      <c r="AJ150" s="84" t="n">
        <f aca="false">IFERROR(__xludf.dummyfunction("""COMPUTED_VALUE"""),0)</f>
        <v>0</v>
      </c>
      <c r="AK150" s="84" t="n">
        <f aca="false">IFERROR(__xludf.dummyfunction("""COMPUTED_VALUE"""),0)</f>
        <v>0</v>
      </c>
      <c r="AL150" s="84" t="n">
        <f aca="false">IFERROR(__xludf.dummyfunction("""COMPUTED_VALUE"""),0)</f>
        <v>0</v>
      </c>
      <c r="AM150" s="84" t="n">
        <f aca="false">IFERROR(__xludf.dummyfunction("""COMPUTED_VALUE"""),0)</f>
        <v>0</v>
      </c>
      <c r="AN150" s="84" t="n">
        <f aca="false">IFERROR(__xludf.dummyfunction("""COMPUTED_VALUE"""),0)</f>
        <v>0</v>
      </c>
      <c r="AO150" s="84" t="n">
        <f aca="false">IFERROR(__xludf.dummyfunction("""COMPUTED_VALUE"""),0)</f>
        <v>0</v>
      </c>
      <c r="AP150" s="84" t="n">
        <f aca="false">IFERROR(__xludf.dummyfunction("""COMPUTED_VALUE"""),0)</f>
        <v>0</v>
      </c>
      <c r="AQ150" s="84" t="n">
        <f aca="false">IFERROR(__xludf.dummyfunction("""COMPUTED_VALUE"""),0)</f>
        <v>0</v>
      </c>
      <c r="AR150" s="84" t="n">
        <f aca="false">IFERROR(__xludf.dummyfunction("""COMPUTED_VALUE"""),0)</f>
        <v>0</v>
      </c>
      <c r="AS150" s="84" t="n">
        <f aca="false">IFERROR(__xludf.dummyfunction("""COMPUTED_VALUE"""),0)</f>
        <v>0</v>
      </c>
      <c r="AT150" s="84" t="n">
        <f aca="false">IFERROR(__xludf.dummyfunction("""COMPUTED_VALUE"""),0)</f>
        <v>0</v>
      </c>
      <c r="AU150" s="84" t="n">
        <f aca="false">IFERROR(__xludf.dummyfunction("""COMPUTED_VALUE"""),0)</f>
        <v>0</v>
      </c>
      <c r="AV150" s="84" t="n">
        <f aca="false">IFERROR(__xludf.dummyfunction("""COMPUTED_VALUE"""),0)</f>
        <v>0</v>
      </c>
      <c r="AW150" s="84" t="n">
        <f aca="false">IFERROR(__xludf.dummyfunction("""COMPUTED_VALUE"""),0)</f>
        <v>0</v>
      </c>
      <c r="AX150" s="84" t="n">
        <f aca="false">IFERROR(__xludf.dummyfunction("""COMPUTED_VALUE"""),0)</f>
        <v>0</v>
      </c>
      <c r="AY150" s="84" t="n">
        <f aca="false">IFERROR(__xludf.dummyfunction("""COMPUTED_VALUE"""),0)</f>
        <v>0</v>
      </c>
      <c r="AZ150" s="84" t="n">
        <f aca="false">IFERROR(__xludf.dummyfunction("""COMPUTED_VALUE"""),0)</f>
        <v>0</v>
      </c>
      <c r="BA150" s="84" t="n">
        <f aca="false">IFERROR(__xludf.dummyfunction("""COMPUTED_VALUE"""),0)</f>
        <v>0</v>
      </c>
    </row>
    <row r="151" customFormat="false" ht="15.75" hidden="false" customHeight="false" outlineLevel="0" collapsed="false">
      <c r="A151" s="78" t="str">
        <f aca="false">IFERROR(__xludf.dummyfunction("""COMPUTED_VALUE"""),"seller_zip_plus_four_code")</f>
        <v>seller_zip_plus_four_code</v>
      </c>
      <c r="B151" s="72" t="n">
        <f aca="false">IFERROR(__xludf.dummyfunction("""COMPUTED_VALUE"""),0)</f>
        <v>0</v>
      </c>
      <c r="C151" s="82" t="n">
        <f aca="false">IFERROR(__xludf.dummyfunction("""COMPUTED_VALUE"""),0)</f>
        <v>0</v>
      </c>
      <c r="D151" s="83" t="n">
        <f aca="false">IFERROR(__xludf.dummyfunction("""COMPUTED_VALUE"""),0)</f>
        <v>0</v>
      </c>
      <c r="E151" s="84" t="n">
        <f aca="false">IFERROR(__xludf.dummyfunction("""COMPUTED_VALUE"""),0)</f>
        <v>0</v>
      </c>
      <c r="F151" s="84" t="n">
        <f aca="false">IFERROR(__xludf.dummyfunction("""COMPUTED_VALUE"""),0)</f>
        <v>0</v>
      </c>
      <c r="G151" s="84" t="n">
        <f aca="false">IFERROR(__xludf.dummyfunction("""COMPUTED_VALUE"""),0)</f>
        <v>0</v>
      </c>
      <c r="H151" s="84" t="n">
        <f aca="false">IFERROR(__xludf.dummyfunction("""COMPUTED_VALUE"""),0)</f>
        <v>0</v>
      </c>
      <c r="I151" s="84" t="n">
        <f aca="false">IFERROR(__xludf.dummyfunction("""COMPUTED_VALUE"""),0)</f>
        <v>0</v>
      </c>
      <c r="J151" s="84" t="n">
        <f aca="false">IFERROR(__xludf.dummyfunction("""COMPUTED_VALUE"""),0)</f>
        <v>0</v>
      </c>
      <c r="K151" s="84" t="n">
        <f aca="false">IFERROR(__xludf.dummyfunction("""COMPUTED_VALUE"""),0)</f>
        <v>0</v>
      </c>
      <c r="L151" s="84" t="n">
        <f aca="false">IFERROR(__xludf.dummyfunction("""COMPUTED_VALUE"""),0)</f>
        <v>0</v>
      </c>
      <c r="M151" s="84" t="n">
        <f aca="false">IFERROR(__xludf.dummyfunction("""COMPUTED_VALUE"""),0)</f>
        <v>0</v>
      </c>
      <c r="N151" s="84" t="n">
        <f aca="false">IFERROR(__xludf.dummyfunction("""COMPUTED_VALUE"""),0)</f>
        <v>0</v>
      </c>
      <c r="O151" s="84" t="n">
        <f aca="false">IFERROR(__xludf.dummyfunction("""COMPUTED_VALUE"""),0)</f>
        <v>0</v>
      </c>
      <c r="P151" s="84" t="n">
        <f aca="false">IFERROR(__xludf.dummyfunction("""COMPUTED_VALUE"""),0)</f>
        <v>0</v>
      </c>
      <c r="Q151" s="84" t="n">
        <f aca="false">IFERROR(__xludf.dummyfunction("""COMPUTED_VALUE"""),0)</f>
        <v>0</v>
      </c>
      <c r="R151" s="84" t="n">
        <f aca="false">IFERROR(__xludf.dummyfunction("""COMPUTED_VALUE"""),0)</f>
        <v>0</v>
      </c>
      <c r="S151" s="84" t="n">
        <f aca="false">IFERROR(__xludf.dummyfunction("""COMPUTED_VALUE"""),0)</f>
        <v>0</v>
      </c>
      <c r="T151" s="84" t="n">
        <f aca="false">IFERROR(__xludf.dummyfunction("""COMPUTED_VALUE"""),0)</f>
        <v>0</v>
      </c>
      <c r="U151" s="84" t="n">
        <f aca="false">IFERROR(__xludf.dummyfunction("""COMPUTED_VALUE"""),0)</f>
        <v>0</v>
      </c>
      <c r="V151" s="84" t="n">
        <f aca="false">IFERROR(__xludf.dummyfunction("""COMPUTED_VALUE"""),0)</f>
        <v>0</v>
      </c>
      <c r="W151" s="84" t="n">
        <f aca="false">IFERROR(__xludf.dummyfunction("""COMPUTED_VALUE"""),0)</f>
        <v>0</v>
      </c>
      <c r="X151" s="84" t="n">
        <f aca="false">IFERROR(__xludf.dummyfunction("""COMPUTED_VALUE"""),0)</f>
        <v>0</v>
      </c>
      <c r="Y151" s="84" t="n">
        <f aca="false">IFERROR(__xludf.dummyfunction("""COMPUTED_VALUE"""),0)</f>
        <v>0</v>
      </c>
      <c r="Z151" s="84" t="n">
        <f aca="false">IFERROR(__xludf.dummyfunction("""COMPUTED_VALUE"""),0)</f>
        <v>0</v>
      </c>
      <c r="AA151" s="84" t="n">
        <f aca="false">IFERROR(__xludf.dummyfunction("""COMPUTED_VALUE"""),0)</f>
        <v>0</v>
      </c>
      <c r="AB151" s="84" t="n">
        <f aca="false">IFERROR(__xludf.dummyfunction("""COMPUTED_VALUE"""),0)</f>
        <v>0</v>
      </c>
      <c r="AC151" s="84" t="n">
        <f aca="false">IFERROR(__xludf.dummyfunction("""COMPUTED_VALUE"""),0)</f>
        <v>0</v>
      </c>
      <c r="AD151" s="84" t="n">
        <f aca="false">IFERROR(__xludf.dummyfunction("""COMPUTED_VALUE"""),0)</f>
        <v>0</v>
      </c>
      <c r="AE151" s="84" t="n">
        <f aca="false">IFERROR(__xludf.dummyfunction("""COMPUTED_VALUE"""),0)</f>
        <v>0</v>
      </c>
      <c r="AF151" s="84" t="n">
        <f aca="false">IFERROR(__xludf.dummyfunction("""COMPUTED_VALUE"""),0)</f>
        <v>0</v>
      </c>
      <c r="AG151" s="84" t="n">
        <f aca="false">IFERROR(__xludf.dummyfunction("""COMPUTED_VALUE"""),0)</f>
        <v>0</v>
      </c>
      <c r="AH151" s="84" t="n">
        <f aca="false">IFERROR(__xludf.dummyfunction("""COMPUTED_VALUE"""),0)</f>
        <v>0</v>
      </c>
      <c r="AI151" s="84" t="n">
        <f aca="false">IFERROR(__xludf.dummyfunction("""COMPUTED_VALUE"""),0)</f>
        <v>0</v>
      </c>
      <c r="AJ151" s="84" t="n">
        <f aca="false">IFERROR(__xludf.dummyfunction("""COMPUTED_VALUE"""),0)</f>
        <v>0</v>
      </c>
      <c r="AK151" s="84" t="n">
        <f aca="false">IFERROR(__xludf.dummyfunction("""COMPUTED_VALUE"""),0)</f>
        <v>0</v>
      </c>
      <c r="AL151" s="84" t="n">
        <f aca="false">IFERROR(__xludf.dummyfunction("""COMPUTED_VALUE"""),0)</f>
        <v>0</v>
      </c>
      <c r="AM151" s="84" t="n">
        <f aca="false">IFERROR(__xludf.dummyfunction("""COMPUTED_VALUE"""),0)</f>
        <v>0</v>
      </c>
      <c r="AN151" s="84" t="n">
        <f aca="false">IFERROR(__xludf.dummyfunction("""COMPUTED_VALUE"""),0)</f>
        <v>0</v>
      </c>
      <c r="AO151" s="84" t="n">
        <f aca="false">IFERROR(__xludf.dummyfunction("""COMPUTED_VALUE"""),0)</f>
        <v>0</v>
      </c>
      <c r="AP151" s="84" t="n">
        <f aca="false">IFERROR(__xludf.dummyfunction("""COMPUTED_VALUE"""),0)</f>
        <v>0</v>
      </c>
      <c r="AQ151" s="84" t="n">
        <f aca="false">IFERROR(__xludf.dummyfunction("""COMPUTED_VALUE"""),0)</f>
        <v>0</v>
      </c>
      <c r="AR151" s="84" t="n">
        <f aca="false">IFERROR(__xludf.dummyfunction("""COMPUTED_VALUE"""),0)</f>
        <v>0</v>
      </c>
      <c r="AS151" s="84" t="n">
        <f aca="false">IFERROR(__xludf.dummyfunction("""COMPUTED_VALUE"""),0)</f>
        <v>0</v>
      </c>
      <c r="AT151" s="84" t="n">
        <f aca="false">IFERROR(__xludf.dummyfunction("""COMPUTED_VALUE"""),0)</f>
        <v>0</v>
      </c>
      <c r="AU151" s="84" t="n">
        <f aca="false">IFERROR(__xludf.dummyfunction("""COMPUTED_VALUE"""),0)</f>
        <v>0</v>
      </c>
      <c r="AV151" s="84" t="n">
        <f aca="false">IFERROR(__xludf.dummyfunction("""COMPUTED_VALUE"""),0)</f>
        <v>0</v>
      </c>
      <c r="AW151" s="84" t="n">
        <f aca="false">IFERROR(__xludf.dummyfunction("""COMPUTED_VALUE"""),0)</f>
        <v>0</v>
      </c>
      <c r="AX151" s="84" t="n">
        <f aca="false">IFERROR(__xludf.dummyfunction("""COMPUTED_VALUE"""),0)</f>
        <v>0</v>
      </c>
      <c r="AY151" s="84" t="n">
        <f aca="false">IFERROR(__xludf.dummyfunction("""COMPUTED_VALUE"""),0)</f>
        <v>0</v>
      </c>
      <c r="AZ151" s="84" t="n">
        <f aca="false">IFERROR(__xludf.dummyfunction("""COMPUTED_VALUE"""),0)</f>
        <v>0</v>
      </c>
      <c r="BA151" s="84" t="n">
        <f aca="false">IFERROR(__xludf.dummyfunction("""COMPUTED_VALUE"""),0)</f>
        <v>0</v>
      </c>
    </row>
    <row r="152" customFormat="false" ht="15.75" hidden="false" customHeight="false" outlineLevel="0" collapsed="false">
      <c r="A152" s="78" t="str">
        <f aca="false">IFERROR(__xludf.dummyfunction("""COMPUTED_VALUE"""),"buyer_first_name")</f>
        <v>buyer_first_name</v>
      </c>
      <c r="B152" s="72" t="n">
        <f aca="false">IFERROR(__xludf.dummyfunction("""COMPUTED_VALUE"""),19831247)</f>
        <v>19831247</v>
      </c>
      <c r="C152" s="82" t="n">
        <f aca="false">IFERROR(__xludf.dummyfunction("""COMPUTED_VALUE"""),515209)</f>
        <v>515209</v>
      </c>
      <c r="D152" s="83" t="n">
        <f aca="false">IFERROR(__xludf.dummyfunction("""COMPUTED_VALUE"""),57218)</f>
        <v>57218</v>
      </c>
      <c r="E152" s="84" t="n">
        <f aca="false">IFERROR(__xludf.dummyfunction("""COMPUTED_VALUE"""),390728)</f>
        <v>390728</v>
      </c>
      <c r="F152" s="84" t="n">
        <f aca="false">IFERROR(__xludf.dummyfunction("""COMPUTED_VALUE"""),591624)</f>
        <v>591624</v>
      </c>
      <c r="G152" s="84" t="n">
        <f aca="false">IFERROR(__xludf.dummyfunction("""COMPUTED_VALUE"""),1073024)</f>
        <v>1073024</v>
      </c>
      <c r="H152" s="84" t="n">
        <f aca="false">IFERROR(__xludf.dummyfunction("""COMPUTED_VALUE"""),292548)</f>
        <v>292548</v>
      </c>
      <c r="I152" s="84" t="n">
        <f aca="false">IFERROR(__xludf.dummyfunction("""COMPUTED_VALUE"""),68630)</f>
        <v>68630</v>
      </c>
      <c r="J152" s="84" t="n">
        <f aca="false">IFERROR(__xludf.dummyfunction("""COMPUTED_VALUE"""),24229)</f>
        <v>24229</v>
      </c>
      <c r="K152" s="84" t="n">
        <f aca="false">IFERROR(__xludf.dummyfunction("""COMPUTED_VALUE"""),16825)</f>
        <v>16825</v>
      </c>
      <c r="L152" s="84" t="n">
        <f aca="false">IFERROR(__xludf.dummyfunction("""COMPUTED_VALUE"""),1160165)</f>
        <v>1160165</v>
      </c>
      <c r="M152" s="84" t="n">
        <f aca="false">IFERROR(__xludf.dummyfunction("""COMPUTED_VALUE"""),324362)</f>
        <v>324362</v>
      </c>
      <c r="N152" s="84" t="n">
        <f aca="false">IFERROR(__xludf.dummyfunction("""COMPUTED_VALUE"""),66019)</f>
        <v>66019</v>
      </c>
      <c r="O152" s="84" t="n">
        <f aca="false">IFERROR(__xludf.dummyfunction("""COMPUTED_VALUE"""),102065)</f>
        <v>102065</v>
      </c>
      <c r="P152" s="84" t="n">
        <f aca="false">IFERROR(__xludf.dummyfunction("""COMPUTED_VALUE"""),780139)</f>
        <v>780139</v>
      </c>
      <c r="Q152" s="84" t="n">
        <f aca="false">IFERROR(__xludf.dummyfunction("""COMPUTED_VALUE"""),513111)</f>
        <v>513111</v>
      </c>
      <c r="R152" s="84" t="n">
        <f aca="false">IFERROR(__xludf.dummyfunction("""COMPUTED_VALUE"""),681318)</f>
        <v>681318</v>
      </c>
      <c r="S152" s="84" t="n">
        <f aca="false">IFERROR(__xludf.dummyfunction("""COMPUTED_VALUE"""),338902)</f>
        <v>338902</v>
      </c>
      <c r="T152" s="84" t="n">
        <f aca="false">IFERROR(__xludf.dummyfunction("""COMPUTED_VALUE"""),236501)</f>
        <v>236501</v>
      </c>
      <c r="U152" s="84" t="n">
        <f aca="false">IFERROR(__xludf.dummyfunction("""COMPUTED_VALUE"""),453569)</f>
        <v>453569</v>
      </c>
      <c r="V152" s="84" t="n">
        <f aca="false">IFERROR(__xludf.dummyfunction("""COMPUTED_VALUE"""),74435)</f>
        <v>74435</v>
      </c>
      <c r="W152" s="84" t="n">
        <f aca="false">IFERROR(__xludf.dummyfunction("""COMPUTED_VALUE"""),109179)</f>
        <v>109179</v>
      </c>
      <c r="X152" s="84" t="n">
        <f aca="false">IFERROR(__xludf.dummyfunction("""COMPUTED_VALUE"""),158079)</f>
        <v>158079</v>
      </c>
      <c r="Y152" s="84" t="n">
        <f aca="false">IFERROR(__xludf.dummyfunction("""COMPUTED_VALUE"""),430770)</f>
        <v>430770</v>
      </c>
      <c r="Z152" s="84" t="n">
        <f aca="false">IFERROR(__xludf.dummyfunction("""COMPUTED_VALUE"""),388496)</f>
        <v>388496</v>
      </c>
      <c r="AA152" s="84" t="n">
        <f aca="false">IFERROR(__xludf.dummyfunction("""COMPUTED_VALUE"""),350184)</f>
        <v>350184</v>
      </c>
      <c r="AB152" s="84" t="n">
        <f aca="false">IFERROR(__xludf.dummyfunction("""COMPUTED_VALUE"""),384595)</f>
        <v>384595</v>
      </c>
      <c r="AC152" s="84" t="n">
        <f aca="false">IFERROR(__xludf.dummyfunction("""COMPUTED_VALUE"""),192751)</f>
        <v>192751</v>
      </c>
      <c r="AD152" s="84" t="n">
        <f aca="false">IFERROR(__xludf.dummyfunction("""COMPUTED_VALUE"""),215452)</f>
        <v>215452</v>
      </c>
      <c r="AE152" s="84" t="n">
        <f aca="false">IFERROR(__xludf.dummyfunction("""COMPUTED_VALUE"""),95195)</f>
        <v>95195</v>
      </c>
      <c r="AF152" s="84" t="n">
        <f aca="false">IFERROR(__xludf.dummyfunction("""COMPUTED_VALUE"""),64537)</f>
        <v>64537</v>
      </c>
      <c r="AG152" s="84" t="n">
        <f aca="false">IFERROR(__xludf.dummyfunction("""COMPUTED_VALUE"""),167601)</f>
        <v>167601</v>
      </c>
      <c r="AH152" s="84" t="n">
        <f aca="false">IFERROR(__xludf.dummyfunction("""COMPUTED_VALUE"""),389924)</f>
        <v>389924</v>
      </c>
      <c r="AI152" s="84" t="n">
        <f aca="false">IFERROR(__xludf.dummyfunction("""COMPUTED_VALUE"""),587802)</f>
        <v>587802</v>
      </c>
      <c r="AJ152" s="84" t="n">
        <f aca="false">IFERROR(__xludf.dummyfunction("""COMPUTED_VALUE"""),720846)</f>
        <v>720846</v>
      </c>
      <c r="AK152" s="84" t="n">
        <f aca="false">IFERROR(__xludf.dummyfunction("""COMPUTED_VALUE"""),332760)</f>
        <v>332760</v>
      </c>
      <c r="AL152" s="84" t="n">
        <f aca="false">IFERROR(__xludf.dummyfunction("""COMPUTED_VALUE"""),988165)</f>
        <v>988165</v>
      </c>
      <c r="AM152" s="84" t="n">
        <f aca="false">IFERROR(__xludf.dummyfunction("""COMPUTED_VALUE"""),326283)</f>
        <v>326283</v>
      </c>
      <c r="AN152" s="84" t="n">
        <f aca="false">IFERROR(__xludf.dummyfunction("""COMPUTED_VALUE"""),218098)</f>
        <v>218098</v>
      </c>
      <c r="AO152" s="84" t="n">
        <f aca="false">IFERROR(__xludf.dummyfunction("""COMPUTED_VALUE"""),783584)</f>
        <v>783584</v>
      </c>
      <c r="AP152" s="84" t="n">
        <f aca="false">IFERROR(__xludf.dummyfunction("""COMPUTED_VALUE"""),34776)</f>
        <v>34776</v>
      </c>
      <c r="AQ152" s="84" t="n">
        <f aca="false">IFERROR(__xludf.dummyfunction("""COMPUTED_VALUE"""),381989)</f>
        <v>381989</v>
      </c>
      <c r="AR152" s="84" t="n">
        <f aca="false">IFERROR(__xludf.dummyfunction("""COMPUTED_VALUE"""),229286)</f>
        <v>229286</v>
      </c>
      <c r="AS152" s="84" t="n">
        <f aca="false">IFERROR(__xludf.dummyfunction("""COMPUTED_VALUE"""),274555)</f>
        <v>274555</v>
      </c>
      <c r="AT152" s="84" t="n">
        <f aca="false">IFERROR(__xludf.dummyfunction("""COMPUTED_VALUE"""),2324000)</f>
        <v>2324000</v>
      </c>
      <c r="AU152" s="84" t="n">
        <f aca="false">IFERROR(__xludf.dummyfunction("""COMPUTED_VALUE"""),140472)</f>
        <v>140472</v>
      </c>
      <c r="AV152" s="84" t="n">
        <f aca="false">IFERROR(__xludf.dummyfunction("""COMPUTED_VALUE"""),13239)</f>
        <v>13239</v>
      </c>
      <c r="AW152" s="84" t="n">
        <f aca="false">IFERROR(__xludf.dummyfunction("""COMPUTED_VALUE"""),309663)</f>
        <v>309663</v>
      </c>
      <c r="AX152" s="84" t="n">
        <f aca="false">IFERROR(__xludf.dummyfunction("""COMPUTED_VALUE"""),332724)</f>
        <v>332724</v>
      </c>
      <c r="AY152" s="84" t="n">
        <f aca="false">IFERROR(__xludf.dummyfunction("""COMPUTED_VALUE"""),478876)</f>
        <v>478876</v>
      </c>
      <c r="AZ152" s="84" t="n">
        <f aca="false">IFERROR(__xludf.dummyfunction("""COMPUTED_VALUE"""),599715)</f>
        <v>599715</v>
      </c>
      <c r="BA152" s="84" t="n">
        <f aca="false">IFERROR(__xludf.dummyfunction("""COMPUTED_VALUE"""),47030)</f>
        <v>47030</v>
      </c>
    </row>
    <row r="153" customFormat="false" ht="15.75" hidden="false" customHeight="false" outlineLevel="0" collapsed="false">
      <c r="A153" s="78" t="str">
        <f aca="false">IFERROR(__xludf.dummyfunction("""COMPUTED_VALUE"""),"buyer_last_name")</f>
        <v>buyer_last_name</v>
      </c>
      <c r="B153" s="72" t="n">
        <f aca="false">IFERROR(__xludf.dummyfunction("""COMPUTED_VALUE"""),19844611)</f>
        <v>19844611</v>
      </c>
      <c r="C153" s="82" t="n">
        <f aca="false">IFERROR(__xludf.dummyfunction("""COMPUTED_VALUE"""),515339)</f>
        <v>515339</v>
      </c>
      <c r="D153" s="83" t="n">
        <f aca="false">IFERROR(__xludf.dummyfunction("""COMPUTED_VALUE"""),57246)</f>
        <v>57246</v>
      </c>
      <c r="E153" s="84" t="n">
        <f aca="false">IFERROR(__xludf.dummyfunction("""COMPUTED_VALUE"""),391131)</f>
        <v>391131</v>
      </c>
      <c r="F153" s="84" t="n">
        <f aca="false">IFERROR(__xludf.dummyfunction("""COMPUTED_VALUE"""),592498)</f>
        <v>592498</v>
      </c>
      <c r="G153" s="84" t="n">
        <f aca="false">IFERROR(__xludf.dummyfunction("""COMPUTED_VALUE"""),1074963)</f>
        <v>1074963</v>
      </c>
      <c r="H153" s="84" t="n">
        <f aca="false">IFERROR(__xludf.dummyfunction("""COMPUTED_VALUE"""),292871)</f>
        <v>292871</v>
      </c>
      <c r="I153" s="84" t="n">
        <f aca="false">IFERROR(__xludf.dummyfunction("""COMPUTED_VALUE"""),68665)</f>
        <v>68665</v>
      </c>
      <c r="J153" s="84" t="n">
        <f aca="false">IFERROR(__xludf.dummyfunction("""COMPUTED_VALUE"""),24243)</f>
        <v>24243</v>
      </c>
      <c r="K153" s="84" t="n">
        <f aca="false">IFERROR(__xludf.dummyfunction("""COMPUTED_VALUE"""),16834)</f>
        <v>16834</v>
      </c>
      <c r="L153" s="84" t="n">
        <f aca="false">IFERROR(__xludf.dummyfunction("""COMPUTED_VALUE"""),1161155)</f>
        <v>1161155</v>
      </c>
      <c r="M153" s="84" t="n">
        <f aca="false">IFERROR(__xludf.dummyfunction("""COMPUTED_VALUE"""),324464)</f>
        <v>324464</v>
      </c>
      <c r="N153" s="84" t="n">
        <f aca="false">IFERROR(__xludf.dummyfunction("""COMPUTED_VALUE"""),66075)</f>
        <v>66075</v>
      </c>
      <c r="O153" s="84" t="n">
        <f aca="false">IFERROR(__xludf.dummyfunction("""COMPUTED_VALUE"""),102173)</f>
        <v>102173</v>
      </c>
      <c r="P153" s="84" t="n">
        <f aca="false">IFERROR(__xludf.dummyfunction("""COMPUTED_VALUE"""),780608)</f>
        <v>780608</v>
      </c>
      <c r="Q153" s="84" t="n">
        <f aca="false">IFERROR(__xludf.dummyfunction("""COMPUTED_VALUE"""),513257)</f>
        <v>513257</v>
      </c>
      <c r="R153" s="84" t="n">
        <f aca="false">IFERROR(__xludf.dummyfunction("""COMPUTED_VALUE"""),681568)</f>
        <v>681568</v>
      </c>
      <c r="S153" s="84" t="n">
        <f aca="false">IFERROR(__xludf.dummyfunction("""COMPUTED_VALUE"""),339023)</f>
        <v>339023</v>
      </c>
      <c r="T153" s="84" t="n">
        <f aca="false">IFERROR(__xludf.dummyfunction("""COMPUTED_VALUE"""),237079)</f>
        <v>237079</v>
      </c>
      <c r="U153" s="84" t="n">
        <f aca="false">IFERROR(__xludf.dummyfunction("""COMPUTED_VALUE"""),453739)</f>
        <v>453739</v>
      </c>
      <c r="V153" s="84" t="n">
        <f aca="false">IFERROR(__xludf.dummyfunction("""COMPUTED_VALUE"""),74452)</f>
        <v>74452</v>
      </c>
      <c r="W153" s="84" t="n">
        <f aca="false">IFERROR(__xludf.dummyfunction("""COMPUTED_VALUE"""),109228)</f>
        <v>109228</v>
      </c>
      <c r="X153" s="84" t="n">
        <f aca="false">IFERROR(__xludf.dummyfunction("""COMPUTED_VALUE"""),158240)</f>
        <v>158240</v>
      </c>
      <c r="Y153" s="84" t="n">
        <f aca="false">IFERROR(__xludf.dummyfunction("""COMPUTED_VALUE"""),431116)</f>
        <v>431116</v>
      </c>
      <c r="Z153" s="84" t="n">
        <f aca="false">IFERROR(__xludf.dummyfunction("""COMPUTED_VALUE"""),388589)</f>
        <v>388589</v>
      </c>
      <c r="AA153" s="84" t="n">
        <f aca="false">IFERROR(__xludf.dummyfunction("""COMPUTED_VALUE"""),350290)</f>
        <v>350290</v>
      </c>
      <c r="AB153" s="84" t="n">
        <f aca="false">IFERROR(__xludf.dummyfunction("""COMPUTED_VALUE"""),385011)</f>
        <v>385011</v>
      </c>
      <c r="AC153" s="84" t="n">
        <f aca="false">IFERROR(__xludf.dummyfunction("""COMPUTED_VALUE"""),192834)</f>
        <v>192834</v>
      </c>
      <c r="AD153" s="84" t="n">
        <f aca="false">IFERROR(__xludf.dummyfunction("""COMPUTED_VALUE"""),215637)</f>
        <v>215637</v>
      </c>
      <c r="AE153" s="84" t="n">
        <f aca="false">IFERROR(__xludf.dummyfunction("""COMPUTED_VALUE"""),95261)</f>
        <v>95261</v>
      </c>
      <c r="AF153" s="84" t="n">
        <f aca="false">IFERROR(__xludf.dummyfunction("""COMPUTED_VALUE"""),64580)</f>
        <v>64580</v>
      </c>
      <c r="AG153" s="84" t="n">
        <f aca="false">IFERROR(__xludf.dummyfunction("""COMPUTED_VALUE"""),167726)</f>
        <v>167726</v>
      </c>
      <c r="AH153" s="84" t="n">
        <f aca="false">IFERROR(__xludf.dummyfunction("""COMPUTED_VALUE"""),390342)</f>
        <v>390342</v>
      </c>
      <c r="AI153" s="84" t="n">
        <f aca="false">IFERROR(__xludf.dummyfunction("""COMPUTED_VALUE"""),588174)</f>
        <v>588174</v>
      </c>
      <c r="AJ153" s="84" t="n">
        <f aca="false">IFERROR(__xludf.dummyfunction("""COMPUTED_VALUE"""),721025)</f>
        <v>721025</v>
      </c>
      <c r="AK153" s="84" t="n">
        <f aca="false">IFERROR(__xludf.dummyfunction("""COMPUTED_VALUE"""),332830)</f>
        <v>332830</v>
      </c>
      <c r="AL153" s="84" t="n">
        <f aca="false">IFERROR(__xludf.dummyfunction("""COMPUTED_VALUE"""),988323)</f>
        <v>988323</v>
      </c>
      <c r="AM153" s="84" t="n">
        <f aca="false">IFERROR(__xludf.dummyfunction("""COMPUTED_VALUE"""),326556)</f>
        <v>326556</v>
      </c>
      <c r="AN153" s="84" t="n">
        <f aca="false">IFERROR(__xludf.dummyfunction("""COMPUTED_VALUE"""),218275)</f>
        <v>218275</v>
      </c>
      <c r="AO153" s="84" t="n">
        <f aca="false">IFERROR(__xludf.dummyfunction("""COMPUTED_VALUE"""),784110)</f>
        <v>784110</v>
      </c>
      <c r="AP153" s="84" t="n">
        <f aca="false">IFERROR(__xludf.dummyfunction("""COMPUTED_VALUE"""),34790)</f>
        <v>34790</v>
      </c>
      <c r="AQ153" s="84" t="n">
        <f aca="false">IFERROR(__xludf.dummyfunction("""COMPUTED_VALUE"""),382125)</f>
        <v>382125</v>
      </c>
      <c r="AR153" s="84" t="n">
        <f aca="false">IFERROR(__xludf.dummyfunction("""COMPUTED_VALUE"""),229404)</f>
        <v>229404</v>
      </c>
      <c r="AS153" s="84" t="n">
        <f aca="false">IFERROR(__xludf.dummyfunction("""COMPUTED_VALUE"""),274637)</f>
        <v>274637</v>
      </c>
      <c r="AT153" s="84" t="n">
        <f aca="false">IFERROR(__xludf.dummyfunction("""COMPUTED_VALUE"""),2325683)</f>
        <v>2325683</v>
      </c>
      <c r="AU153" s="84" t="n">
        <f aca="false">IFERROR(__xludf.dummyfunction("""COMPUTED_VALUE"""),140559)</f>
        <v>140559</v>
      </c>
      <c r="AV153" s="84" t="n">
        <f aca="false">IFERROR(__xludf.dummyfunction("""COMPUTED_VALUE"""),13255)</f>
        <v>13255</v>
      </c>
      <c r="AW153" s="84" t="n">
        <f aca="false">IFERROR(__xludf.dummyfunction("""COMPUTED_VALUE"""),309744)</f>
        <v>309744</v>
      </c>
      <c r="AX153" s="84" t="n">
        <f aca="false">IFERROR(__xludf.dummyfunction("""COMPUTED_VALUE"""),332930)</f>
        <v>332930</v>
      </c>
      <c r="AY153" s="84" t="n">
        <f aca="false">IFERROR(__xludf.dummyfunction("""COMPUTED_VALUE"""),478942)</f>
        <v>478942</v>
      </c>
      <c r="AZ153" s="84" t="n">
        <f aca="false">IFERROR(__xludf.dummyfunction("""COMPUTED_VALUE"""),599967)</f>
        <v>599967</v>
      </c>
      <c r="BA153" s="84" t="n">
        <f aca="false">IFERROR(__xludf.dummyfunction("""COMPUTED_VALUE"""),47045)</f>
        <v>47045</v>
      </c>
    </row>
    <row r="154" customFormat="false" ht="15.75" hidden="false" customHeight="false" outlineLevel="0" collapsed="false">
      <c r="A154" s="78" t="str">
        <f aca="false">IFERROR(__xludf.dummyfunction("""COMPUTED_VALUE"""),"buyer2_first_name")</f>
        <v>buyer2_first_name</v>
      </c>
      <c r="B154" s="72" t="n">
        <f aca="false">IFERROR(__xludf.dummyfunction("""COMPUTED_VALUE"""),9131282)</f>
        <v>9131282</v>
      </c>
      <c r="C154" s="82" t="n">
        <f aca="false">IFERROR(__xludf.dummyfunction("""COMPUTED_VALUE"""),222573)</f>
        <v>222573</v>
      </c>
      <c r="D154" s="83" t="n">
        <f aca="false">IFERROR(__xludf.dummyfunction("""COMPUTED_VALUE"""),25018)</f>
        <v>25018</v>
      </c>
      <c r="E154" s="84" t="n">
        <f aca="false">IFERROR(__xludf.dummyfunction("""COMPUTED_VALUE"""),191222)</f>
        <v>191222</v>
      </c>
      <c r="F154" s="84" t="n">
        <f aca="false">IFERROR(__xludf.dummyfunction("""COMPUTED_VALUE"""),284290)</f>
        <v>284290</v>
      </c>
      <c r="G154" s="84" t="n">
        <f aca="false">IFERROR(__xludf.dummyfunction("""COMPUTED_VALUE"""),516777)</f>
        <v>516777</v>
      </c>
      <c r="H154" s="84" t="n">
        <f aca="false">IFERROR(__xludf.dummyfunction("""COMPUTED_VALUE"""),137881)</f>
        <v>137881</v>
      </c>
      <c r="I154" s="84" t="n">
        <f aca="false">IFERROR(__xludf.dummyfunction("""COMPUTED_VALUE"""),30001)</f>
        <v>30001</v>
      </c>
      <c r="J154" s="84" t="n">
        <f aca="false">IFERROR(__xludf.dummyfunction("""COMPUTED_VALUE"""),12151)</f>
        <v>12151</v>
      </c>
      <c r="K154" s="84" t="n">
        <f aca="false">IFERROR(__xludf.dummyfunction("""COMPUTED_VALUE"""),7067)</f>
        <v>7067</v>
      </c>
      <c r="L154" s="84" t="n">
        <f aca="false">IFERROR(__xludf.dummyfunction("""COMPUTED_VALUE"""),516541)</f>
        <v>516541</v>
      </c>
      <c r="M154" s="84" t="n">
        <f aca="false">IFERROR(__xludf.dummyfunction("""COMPUTED_VALUE"""),100407)</f>
        <v>100407</v>
      </c>
      <c r="N154" s="84" t="n">
        <f aca="false">IFERROR(__xludf.dummyfunction("""COMPUTED_VALUE"""),4550)</f>
        <v>4550</v>
      </c>
      <c r="O154" s="84" t="n">
        <f aca="false">IFERROR(__xludf.dummyfunction("""COMPUTED_VALUE"""),57933)</f>
        <v>57933</v>
      </c>
      <c r="P154" s="84" t="n">
        <f aca="false">IFERROR(__xludf.dummyfunction("""COMPUTED_VALUE"""),309909)</f>
        <v>309909</v>
      </c>
      <c r="Q154" s="84" t="n">
        <f aca="false">IFERROR(__xludf.dummyfunction("""COMPUTED_VALUE"""),266147)</f>
        <v>266147</v>
      </c>
      <c r="R154" s="84" t="n">
        <f aca="false">IFERROR(__xludf.dummyfunction("""COMPUTED_VALUE"""),392075)</f>
        <v>392075</v>
      </c>
      <c r="S154" s="84" t="n">
        <f aca="false">IFERROR(__xludf.dummyfunction("""COMPUTED_VALUE"""),187516)</f>
        <v>187516</v>
      </c>
      <c r="T154" s="84" t="n">
        <f aca="false">IFERROR(__xludf.dummyfunction("""COMPUTED_VALUE"""),124878)</f>
        <v>124878</v>
      </c>
      <c r="U154" s="84" t="n">
        <f aca="false">IFERROR(__xludf.dummyfunction("""COMPUTED_VALUE"""),167940)</f>
        <v>167940</v>
      </c>
      <c r="V154" s="84" t="n">
        <f aca="false">IFERROR(__xludf.dummyfunction("""COMPUTED_VALUE"""),37934)</f>
        <v>37934</v>
      </c>
      <c r="W154" s="84" t="n">
        <f aca="false">IFERROR(__xludf.dummyfunction("""COMPUTED_VALUE"""),63089)</f>
        <v>63089</v>
      </c>
      <c r="X154" s="84" t="n">
        <f aca="false">IFERROR(__xludf.dummyfunction("""COMPUTED_VALUE"""),88121)</f>
        <v>88121</v>
      </c>
      <c r="Y154" s="84" t="n">
        <f aca="false">IFERROR(__xludf.dummyfunction("""COMPUTED_VALUE"""),215125)</f>
        <v>215125</v>
      </c>
      <c r="Z154" s="84" t="n">
        <f aca="false">IFERROR(__xludf.dummyfunction("""COMPUTED_VALUE"""),194822)</f>
        <v>194822</v>
      </c>
      <c r="AA154" s="84" t="n">
        <f aca="false">IFERROR(__xludf.dummyfunction("""COMPUTED_VALUE"""),109907)</f>
        <v>109907</v>
      </c>
      <c r="AB154" s="84" t="n">
        <f aca="false">IFERROR(__xludf.dummyfunction("""COMPUTED_VALUE"""),215762)</f>
        <v>215762</v>
      </c>
      <c r="AC154" s="84" t="n">
        <f aca="false">IFERROR(__xludf.dummyfunction("""COMPUTED_VALUE"""),139764)</f>
        <v>139764</v>
      </c>
      <c r="AD154" s="84" t="n">
        <f aca="false">IFERROR(__xludf.dummyfunction("""COMPUTED_VALUE"""),116366)</f>
        <v>116366</v>
      </c>
      <c r="AE154" s="84" t="n">
        <f aca="false">IFERROR(__xludf.dummyfunction("""COMPUTED_VALUE"""),48174)</f>
        <v>48174</v>
      </c>
      <c r="AF154" s="84" t="n">
        <f aca="false">IFERROR(__xludf.dummyfunction("""COMPUTED_VALUE"""),41097)</f>
        <v>41097</v>
      </c>
      <c r="AG154" s="84" t="n">
        <f aca="false">IFERROR(__xludf.dummyfunction("""COMPUTED_VALUE"""),69311)</f>
        <v>69311</v>
      </c>
      <c r="AH154" s="84" t="n">
        <f aca="false">IFERROR(__xludf.dummyfunction("""COMPUTED_VALUE"""),197977)</f>
        <v>197977</v>
      </c>
      <c r="AI154" s="84" t="n">
        <f aca="false">IFERROR(__xludf.dummyfunction("""COMPUTED_VALUE"""),267724)</f>
        <v>267724</v>
      </c>
      <c r="AJ154" s="84" t="n">
        <f aca="false">IFERROR(__xludf.dummyfunction("""COMPUTED_VALUE"""),334026)</f>
        <v>334026</v>
      </c>
      <c r="AK154" s="84" t="n">
        <f aca="false">IFERROR(__xludf.dummyfunction("""COMPUTED_VALUE"""),175018)</f>
        <v>175018</v>
      </c>
      <c r="AL154" s="84" t="n">
        <f aca="false">IFERROR(__xludf.dummyfunction("""COMPUTED_VALUE"""),450990)</f>
        <v>450990</v>
      </c>
      <c r="AM154" s="84" t="n">
        <f aca="false">IFERROR(__xludf.dummyfunction("""COMPUTED_VALUE"""),146883)</f>
        <v>146883</v>
      </c>
      <c r="AN154" s="84" t="n">
        <f aca="false">IFERROR(__xludf.dummyfunction("""COMPUTED_VALUE"""),125551)</f>
        <v>125551</v>
      </c>
      <c r="AO154" s="84" t="n">
        <f aca="false">IFERROR(__xludf.dummyfunction("""COMPUTED_VALUE"""),402926)</f>
        <v>402926</v>
      </c>
      <c r="AP154" s="84" t="n">
        <f aca="false">IFERROR(__xludf.dummyfunction("""COMPUTED_VALUE"""),14598)</f>
        <v>14598</v>
      </c>
      <c r="AQ154" s="84" t="n">
        <f aca="false">IFERROR(__xludf.dummyfunction("""COMPUTED_VALUE"""),117387)</f>
        <v>117387</v>
      </c>
      <c r="AR154" s="84" t="n">
        <f aca="false">IFERROR(__xludf.dummyfunction("""COMPUTED_VALUE"""),122219)</f>
        <v>122219</v>
      </c>
      <c r="AS154" s="84" t="n">
        <f aca="false">IFERROR(__xludf.dummyfunction("""COMPUTED_VALUE"""),128883)</f>
        <v>128883</v>
      </c>
      <c r="AT154" s="84" t="n">
        <f aca="false">IFERROR(__xludf.dummyfunction("""COMPUTED_VALUE"""),799149)</f>
        <v>799149</v>
      </c>
      <c r="AU154" s="84" t="n">
        <f aca="false">IFERROR(__xludf.dummyfunction("""COMPUTED_VALUE"""),72455)</f>
        <v>72455</v>
      </c>
      <c r="AV154" s="84" t="n">
        <f aca="false">IFERROR(__xludf.dummyfunction("""COMPUTED_VALUE"""),7572)</f>
        <v>7572</v>
      </c>
      <c r="AW154" s="84" t="n">
        <f aca="false">IFERROR(__xludf.dummyfunction("""COMPUTED_VALUE"""),140893)</f>
        <v>140893</v>
      </c>
      <c r="AX154" s="84" t="n">
        <f aca="false">IFERROR(__xludf.dummyfunction("""COMPUTED_VALUE"""),145177)</f>
        <v>145177</v>
      </c>
      <c r="AY154" s="84" t="n">
        <f aca="false">IFERROR(__xludf.dummyfunction("""COMPUTED_VALUE"""),216597)</f>
        <v>216597</v>
      </c>
      <c r="AZ154" s="84" t="n">
        <f aca="false">IFERROR(__xludf.dummyfunction("""COMPUTED_VALUE"""),348339)</f>
        <v>348339</v>
      </c>
      <c r="BA154" s="84" t="n">
        <f aca="false">IFERROR(__xludf.dummyfunction("""COMPUTED_VALUE"""),22570)</f>
        <v>22570</v>
      </c>
    </row>
    <row r="155" customFormat="false" ht="15.75" hidden="false" customHeight="false" outlineLevel="0" collapsed="false">
      <c r="A155" s="78" t="str">
        <f aca="false">IFERROR(__xludf.dummyfunction("""COMPUTED_VALUE"""),"buyer2_last_name")</f>
        <v>buyer2_last_name</v>
      </c>
      <c r="B155" s="72" t="n">
        <f aca="false">IFERROR(__xludf.dummyfunction("""COMPUTED_VALUE"""),9140729)</f>
        <v>9140729</v>
      </c>
      <c r="C155" s="82" t="n">
        <f aca="false">IFERROR(__xludf.dummyfunction("""COMPUTED_VALUE"""),222704)</f>
        <v>222704</v>
      </c>
      <c r="D155" s="83" t="n">
        <f aca="false">IFERROR(__xludf.dummyfunction("""COMPUTED_VALUE"""),25023)</f>
        <v>25023</v>
      </c>
      <c r="E155" s="84" t="n">
        <f aca="false">IFERROR(__xludf.dummyfunction("""COMPUTED_VALUE"""),191624)</f>
        <v>191624</v>
      </c>
      <c r="F155" s="84" t="n">
        <f aca="false">IFERROR(__xludf.dummyfunction("""COMPUTED_VALUE"""),284509)</f>
        <v>284509</v>
      </c>
      <c r="G155" s="84" t="n">
        <f aca="false">IFERROR(__xludf.dummyfunction("""COMPUTED_VALUE"""),518056)</f>
        <v>518056</v>
      </c>
      <c r="H155" s="84" t="n">
        <f aca="false">IFERROR(__xludf.dummyfunction("""COMPUTED_VALUE"""),137992)</f>
        <v>137992</v>
      </c>
      <c r="I155" s="84" t="n">
        <f aca="false">IFERROR(__xludf.dummyfunction("""COMPUTED_VALUE"""),30014)</f>
        <v>30014</v>
      </c>
      <c r="J155" s="84" t="n">
        <f aca="false">IFERROR(__xludf.dummyfunction("""COMPUTED_VALUE"""),12157)</f>
        <v>12157</v>
      </c>
      <c r="K155" s="84" t="n">
        <f aca="false">IFERROR(__xludf.dummyfunction("""COMPUTED_VALUE"""),7068)</f>
        <v>7068</v>
      </c>
      <c r="L155" s="84" t="n">
        <f aca="false">IFERROR(__xludf.dummyfunction("""COMPUTED_VALUE"""),517232)</f>
        <v>517232</v>
      </c>
      <c r="M155" s="84" t="n">
        <f aca="false">IFERROR(__xludf.dummyfunction("""COMPUTED_VALUE"""),100618)</f>
        <v>100618</v>
      </c>
      <c r="N155" s="84" t="n">
        <f aca="false">IFERROR(__xludf.dummyfunction("""COMPUTED_VALUE"""),4554)</f>
        <v>4554</v>
      </c>
      <c r="O155" s="84" t="n">
        <f aca="false">IFERROR(__xludf.dummyfunction("""COMPUTED_VALUE"""),57959)</f>
        <v>57959</v>
      </c>
      <c r="P155" s="84" t="n">
        <f aca="false">IFERROR(__xludf.dummyfunction("""COMPUTED_VALUE"""),310188)</f>
        <v>310188</v>
      </c>
      <c r="Q155" s="84" t="n">
        <f aca="false">IFERROR(__xludf.dummyfunction("""COMPUTED_VALUE"""),266258)</f>
        <v>266258</v>
      </c>
      <c r="R155" s="84" t="n">
        <f aca="false">IFERROR(__xludf.dummyfunction("""COMPUTED_VALUE"""),392897)</f>
        <v>392897</v>
      </c>
      <c r="S155" s="84" t="n">
        <f aca="false">IFERROR(__xludf.dummyfunction("""COMPUTED_VALUE"""),187576)</f>
        <v>187576</v>
      </c>
      <c r="T155" s="84" t="n">
        <f aca="false">IFERROR(__xludf.dummyfunction("""COMPUTED_VALUE"""),124989)</f>
        <v>124989</v>
      </c>
      <c r="U155" s="84" t="n">
        <f aca="false">IFERROR(__xludf.dummyfunction("""COMPUTED_VALUE"""),168151)</f>
        <v>168151</v>
      </c>
      <c r="V155" s="84" t="n">
        <f aca="false">IFERROR(__xludf.dummyfunction("""COMPUTED_VALUE"""),37951)</f>
        <v>37951</v>
      </c>
      <c r="W155" s="84" t="n">
        <f aca="false">IFERROR(__xludf.dummyfunction("""COMPUTED_VALUE"""),63156)</f>
        <v>63156</v>
      </c>
      <c r="X155" s="84" t="n">
        <f aca="false">IFERROR(__xludf.dummyfunction("""COMPUTED_VALUE"""),88185)</f>
        <v>88185</v>
      </c>
      <c r="Y155" s="84" t="n">
        <f aca="false">IFERROR(__xludf.dummyfunction("""COMPUTED_VALUE"""),215333)</f>
        <v>215333</v>
      </c>
      <c r="Z155" s="84" t="n">
        <f aca="false">IFERROR(__xludf.dummyfunction("""COMPUTED_VALUE"""),195024)</f>
        <v>195024</v>
      </c>
      <c r="AA155" s="84" t="n">
        <f aca="false">IFERROR(__xludf.dummyfunction("""COMPUTED_VALUE"""),109996)</f>
        <v>109996</v>
      </c>
      <c r="AB155" s="84" t="n">
        <f aca="false">IFERROR(__xludf.dummyfunction("""COMPUTED_VALUE"""),216011)</f>
        <v>216011</v>
      </c>
      <c r="AC155" s="84" t="n">
        <f aca="false">IFERROR(__xludf.dummyfunction("""COMPUTED_VALUE"""),139838)</f>
        <v>139838</v>
      </c>
      <c r="AD155" s="84" t="n">
        <f aca="false">IFERROR(__xludf.dummyfunction("""COMPUTED_VALUE"""),116417)</f>
        <v>116417</v>
      </c>
      <c r="AE155" s="84" t="n">
        <f aca="false">IFERROR(__xludf.dummyfunction("""COMPUTED_VALUE"""),48214)</f>
        <v>48214</v>
      </c>
      <c r="AF155" s="84" t="n">
        <f aca="false">IFERROR(__xludf.dummyfunction("""COMPUTED_VALUE"""),41110)</f>
        <v>41110</v>
      </c>
      <c r="AG155" s="84" t="n">
        <f aca="false">IFERROR(__xludf.dummyfunction("""COMPUTED_VALUE"""),69471)</f>
        <v>69471</v>
      </c>
      <c r="AH155" s="84" t="n">
        <f aca="false">IFERROR(__xludf.dummyfunction("""COMPUTED_VALUE"""),198212)</f>
        <v>198212</v>
      </c>
      <c r="AI155" s="84" t="n">
        <f aca="false">IFERROR(__xludf.dummyfunction("""COMPUTED_VALUE"""),267924)</f>
        <v>267924</v>
      </c>
      <c r="AJ155" s="84" t="n">
        <f aca="false">IFERROR(__xludf.dummyfunction("""COMPUTED_VALUE"""),334161)</f>
        <v>334161</v>
      </c>
      <c r="AK155" s="84" t="n">
        <f aca="false">IFERROR(__xludf.dummyfunction("""COMPUTED_VALUE"""),175168)</f>
        <v>175168</v>
      </c>
      <c r="AL155" s="84" t="n">
        <f aca="false">IFERROR(__xludf.dummyfunction("""COMPUTED_VALUE"""),451222)</f>
        <v>451222</v>
      </c>
      <c r="AM155" s="84" t="n">
        <f aca="false">IFERROR(__xludf.dummyfunction("""COMPUTED_VALUE"""),147133)</f>
        <v>147133</v>
      </c>
      <c r="AN155" s="84" t="n">
        <f aca="false">IFERROR(__xludf.dummyfunction("""COMPUTED_VALUE"""),125651)</f>
        <v>125651</v>
      </c>
      <c r="AO155" s="84" t="n">
        <f aca="false">IFERROR(__xludf.dummyfunction("""COMPUTED_VALUE"""),403171)</f>
        <v>403171</v>
      </c>
      <c r="AP155" s="84" t="n">
        <f aca="false">IFERROR(__xludf.dummyfunction("""COMPUTED_VALUE"""),14613)</f>
        <v>14613</v>
      </c>
      <c r="AQ155" s="84" t="n">
        <f aca="false">IFERROR(__xludf.dummyfunction("""COMPUTED_VALUE"""),117443)</f>
        <v>117443</v>
      </c>
      <c r="AR155" s="84" t="n">
        <f aca="false">IFERROR(__xludf.dummyfunction("""COMPUTED_VALUE"""),122292)</f>
        <v>122292</v>
      </c>
      <c r="AS155" s="84" t="n">
        <f aca="false">IFERROR(__xludf.dummyfunction("""COMPUTED_VALUE"""),128936)</f>
        <v>128936</v>
      </c>
      <c r="AT155" s="84" t="n">
        <f aca="false">IFERROR(__xludf.dummyfunction("""COMPUTED_VALUE"""),800312)</f>
        <v>800312</v>
      </c>
      <c r="AU155" s="84" t="n">
        <f aca="false">IFERROR(__xludf.dummyfunction("""COMPUTED_VALUE"""),72496)</f>
        <v>72496</v>
      </c>
      <c r="AV155" s="84" t="n">
        <f aca="false">IFERROR(__xludf.dummyfunction("""COMPUTED_VALUE"""),7583)</f>
        <v>7583</v>
      </c>
      <c r="AW155" s="84" t="n">
        <f aca="false">IFERROR(__xludf.dummyfunction("""COMPUTED_VALUE"""),140976)</f>
        <v>140976</v>
      </c>
      <c r="AX155" s="84" t="n">
        <f aca="false">IFERROR(__xludf.dummyfunction("""COMPUTED_VALUE"""),145502)</f>
        <v>145502</v>
      </c>
      <c r="AY155" s="84" t="n">
        <f aca="false">IFERROR(__xludf.dummyfunction("""COMPUTED_VALUE"""),216635)</f>
        <v>216635</v>
      </c>
      <c r="AZ155" s="84" t="n">
        <f aca="false">IFERROR(__xludf.dummyfunction("""COMPUTED_VALUE"""),348439)</f>
        <v>348439</v>
      </c>
      <c r="BA155" s="84" t="n">
        <f aca="false">IFERROR(__xludf.dummyfunction("""COMPUTED_VALUE"""),22585)</f>
        <v>22585</v>
      </c>
    </row>
    <row r="156" customFormat="false" ht="15.75" hidden="false" customHeight="false" outlineLevel="0" collapsed="false">
      <c r="A156" s="78" t="str">
        <f aca="false">IFERROR(__xludf.dummyfunction("""COMPUTED_VALUE"""),"buyer_address")</f>
        <v>buyer_address</v>
      </c>
      <c r="B156" s="72" t="n">
        <f aca="false">IFERROR(__xludf.dummyfunction("""COMPUTED_VALUE"""),0)</f>
        <v>0</v>
      </c>
      <c r="C156" s="82" t="n">
        <f aca="false">IFERROR(__xludf.dummyfunction("""COMPUTED_VALUE"""),0)</f>
        <v>0</v>
      </c>
      <c r="D156" s="83" t="n">
        <f aca="false">IFERROR(__xludf.dummyfunction("""COMPUTED_VALUE"""),0)</f>
        <v>0</v>
      </c>
      <c r="E156" s="84" t="n">
        <f aca="false">IFERROR(__xludf.dummyfunction("""COMPUTED_VALUE"""),0)</f>
        <v>0</v>
      </c>
      <c r="F156" s="84" t="n">
        <f aca="false">IFERROR(__xludf.dummyfunction("""COMPUTED_VALUE"""),0)</f>
        <v>0</v>
      </c>
      <c r="G156" s="84" t="n">
        <f aca="false">IFERROR(__xludf.dummyfunction("""COMPUTED_VALUE"""),0)</f>
        <v>0</v>
      </c>
      <c r="H156" s="84" t="n">
        <f aca="false">IFERROR(__xludf.dummyfunction("""COMPUTED_VALUE"""),0)</f>
        <v>0</v>
      </c>
      <c r="I156" s="84" t="n">
        <f aca="false">IFERROR(__xludf.dummyfunction("""COMPUTED_VALUE"""),0)</f>
        <v>0</v>
      </c>
      <c r="J156" s="84" t="n">
        <f aca="false">IFERROR(__xludf.dummyfunction("""COMPUTED_VALUE"""),0)</f>
        <v>0</v>
      </c>
      <c r="K156" s="84" t="n">
        <f aca="false">IFERROR(__xludf.dummyfunction("""COMPUTED_VALUE"""),0)</f>
        <v>0</v>
      </c>
      <c r="L156" s="84" t="n">
        <f aca="false">IFERROR(__xludf.dummyfunction("""COMPUTED_VALUE"""),0)</f>
        <v>0</v>
      </c>
      <c r="M156" s="84" t="n">
        <f aca="false">IFERROR(__xludf.dummyfunction("""COMPUTED_VALUE"""),0)</f>
        <v>0</v>
      </c>
      <c r="N156" s="84" t="n">
        <f aca="false">IFERROR(__xludf.dummyfunction("""COMPUTED_VALUE"""),0)</f>
        <v>0</v>
      </c>
      <c r="O156" s="84" t="n">
        <f aca="false">IFERROR(__xludf.dummyfunction("""COMPUTED_VALUE"""),0)</f>
        <v>0</v>
      </c>
      <c r="P156" s="84" t="n">
        <f aca="false">IFERROR(__xludf.dummyfunction("""COMPUTED_VALUE"""),0)</f>
        <v>0</v>
      </c>
      <c r="Q156" s="84" t="n">
        <f aca="false">IFERROR(__xludf.dummyfunction("""COMPUTED_VALUE"""),0)</f>
        <v>0</v>
      </c>
      <c r="R156" s="84" t="n">
        <f aca="false">IFERROR(__xludf.dummyfunction("""COMPUTED_VALUE"""),0)</f>
        <v>0</v>
      </c>
      <c r="S156" s="84" t="n">
        <f aca="false">IFERROR(__xludf.dummyfunction("""COMPUTED_VALUE"""),0)</f>
        <v>0</v>
      </c>
      <c r="T156" s="84" t="n">
        <f aca="false">IFERROR(__xludf.dummyfunction("""COMPUTED_VALUE"""),0)</f>
        <v>0</v>
      </c>
      <c r="U156" s="84" t="n">
        <f aca="false">IFERROR(__xludf.dummyfunction("""COMPUTED_VALUE"""),0)</f>
        <v>0</v>
      </c>
      <c r="V156" s="84" t="n">
        <f aca="false">IFERROR(__xludf.dummyfunction("""COMPUTED_VALUE"""),0)</f>
        <v>0</v>
      </c>
      <c r="W156" s="84" t="n">
        <f aca="false">IFERROR(__xludf.dummyfunction("""COMPUTED_VALUE"""),0)</f>
        <v>0</v>
      </c>
      <c r="X156" s="84" t="n">
        <f aca="false">IFERROR(__xludf.dummyfunction("""COMPUTED_VALUE"""),0)</f>
        <v>0</v>
      </c>
      <c r="Y156" s="84" t="n">
        <f aca="false">IFERROR(__xludf.dummyfunction("""COMPUTED_VALUE"""),0)</f>
        <v>0</v>
      </c>
      <c r="Z156" s="84" t="n">
        <f aca="false">IFERROR(__xludf.dummyfunction("""COMPUTED_VALUE"""),0)</f>
        <v>0</v>
      </c>
      <c r="AA156" s="84" t="n">
        <f aca="false">IFERROR(__xludf.dummyfunction("""COMPUTED_VALUE"""),0)</f>
        <v>0</v>
      </c>
      <c r="AB156" s="84" t="n">
        <f aca="false">IFERROR(__xludf.dummyfunction("""COMPUTED_VALUE"""),0)</f>
        <v>0</v>
      </c>
      <c r="AC156" s="84" t="n">
        <f aca="false">IFERROR(__xludf.dummyfunction("""COMPUTED_VALUE"""),0)</f>
        <v>0</v>
      </c>
      <c r="AD156" s="84" t="n">
        <f aca="false">IFERROR(__xludf.dummyfunction("""COMPUTED_VALUE"""),0)</f>
        <v>0</v>
      </c>
      <c r="AE156" s="84" t="n">
        <f aca="false">IFERROR(__xludf.dummyfunction("""COMPUTED_VALUE"""),0)</f>
        <v>0</v>
      </c>
      <c r="AF156" s="84" t="n">
        <f aca="false">IFERROR(__xludf.dummyfunction("""COMPUTED_VALUE"""),0)</f>
        <v>0</v>
      </c>
      <c r="AG156" s="84" t="n">
        <f aca="false">IFERROR(__xludf.dummyfunction("""COMPUTED_VALUE"""),0)</f>
        <v>0</v>
      </c>
      <c r="AH156" s="84" t="n">
        <f aca="false">IFERROR(__xludf.dummyfunction("""COMPUTED_VALUE"""),0)</f>
        <v>0</v>
      </c>
      <c r="AI156" s="84" t="n">
        <f aca="false">IFERROR(__xludf.dummyfunction("""COMPUTED_VALUE"""),0)</f>
        <v>0</v>
      </c>
      <c r="AJ156" s="84" t="n">
        <f aca="false">IFERROR(__xludf.dummyfunction("""COMPUTED_VALUE"""),0)</f>
        <v>0</v>
      </c>
      <c r="AK156" s="84" t="n">
        <f aca="false">IFERROR(__xludf.dummyfunction("""COMPUTED_VALUE"""),0)</f>
        <v>0</v>
      </c>
      <c r="AL156" s="84" t="n">
        <f aca="false">IFERROR(__xludf.dummyfunction("""COMPUTED_VALUE"""),0)</f>
        <v>0</v>
      </c>
      <c r="AM156" s="84" t="n">
        <f aca="false">IFERROR(__xludf.dummyfunction("""COMPUTED_VALUE"""),0)</f>
        <v>0</v>
      </c>
      <c r="AN156" s="84" t="n">
        <f aca="false">IFERROR(__xludf.dummyfunction("""COMPUTED_VALUE"""),0)</f>
        <v>0</v>
      </c>
      <c r="AO156" s="84" t="n">
        <f aca="false">IFERROR(__xludf.dummyfunction("""COMPUTED_VALUE"""),0)</f>
        <v>0</v>
      </c>
      <c r="AP156" s="84" t="n">
        <f aca="false">IFERROR(__xludf.dummyfunction("""COMPUTED_VALUE"""),0)</f>
        <v>0</v>
      </c>
      <c r="AQ156" s="84" t="n">
        <f aca="false">IFERROR(__xludf.dummyfunction("""COMPUTED_VALUE"""),0)</f>
        <v>0</v>
      </c>
      <c r="AR156" s="84" t="n">
        <f aca="false">IFERROR(__xludf.dummyfunction("""COMPUTED_VALUE"""),0)</f>
        <v>0</v>
      </c>
      <c r="AS156" s="84" t="n">
        <f aca="false">IFERROR(__xludf.dummyfunction("""COMPUTED_VALUE"""),0)</f>
        <v>0</v>
      </c>
      <c r="AT156" s="84" t="n">
        <f aca="false">IFERROR(__xludf.dummyfunction("""COMPUTED_VALUE"""),0)</f>
        <v>0</v>
      </c>
      <c r="AU156" s="84" t="n">
        <f aca="false">IFERROR(__xludf.dummyfunction("""COMPUTED_VALUE"""),0)</f>
        <v>0</v>
      </c>
      <c r="AV156" s="84" t="n">
        <f aca="false">IFERROR(__xludf.dummyfunction("""COMPUTED_VALUE"""),0)</f>
        <v>0</v>
      </c>
      <c r="AW156" s="84" t="n">
        <f aca="false">IFERROR(__xludf.dummyfunction("""COMPUTED_VALUE"""),0)</f>
        <v>0</v>
      </c>
      <c r="AX156" s="84" t="n">
        <f aca="false">IFERROR(__xludf.dummyfunction("""COMPUTED_VALUE"""),0)</f>
        <v>0</v>
      </c>
      <c r="AY156" s="84" t="n">
        <f aca="false">IFERROR(__xludf.dummyfunction("""COMPUTED_VALUE"""),0)</f>
        <v>0</v>
      </c>
      <c r="AZ156" s="84" t="n">
        <f aca="false">IFERROR(__xludf.dummyfunction("""COMPUTED_VALUE"""),0)</f>
        <v>0</v>
      </c>
      <c r="BA156" s="84" t="n">
        <f aca="false">IFERROR(__xludf.dummyfunction("""COMPUTED_VALUE"""),0)</f>
        <v>0</v>
      </c>
    </row>
    <row r="157" customFormat="false" ht="15.75" hidden="false" customHeight="false" outlineLevel="0" collapsed="false">
      <c r="A157" s="78" t="str">
        <f aca="false">IFERROR(__xludf.dummyfunction("""COMPUTED_VALUE"""),"buyer_unit_type")</f>
        <v>buyer_unit_type</v>
      </c>
      <c r="B157" s="72" t="n">
        <f aca="false">IFERROR(__xludf.dummyfunction("""COMPUTED_VALUE"""),0)</f>
        <v>0</v>
      </c>
      <c r="C157" s="82" t="n">
        <f aca="false">IFERROR(__xludf.dummyfunction("""COMPUTED_VALUE"""),0)</f>
        <v>0</v>
      </c>
      <c r="D157" s="83" t="n">
        <f aca="false">IFERROR(__xludf.dummyfunction("""COMPUTED_VALUE"""),0)</f>
        <v>0</v>
      </c>
      <c r="E157" s="84" t="n">
        <f aca="false">IFERROR(__xludf.dummyfunction("""COMPUTED_VALUE"""),0)</f>
        <v>0</v>
      </c>
      <c r="F157" s="84" t="n">
        <f aca="false">IFERROR(__xludf.dummyfunction("""COMPUTED_VALUE"""),0)</f>
        <v>0</v>
      </c>
      <c r="G157" s="84" t="n">
        <f aca="false">IFERROR(__xludf.dummyfunction("""COMPUTED_VALUE"""),0)</f>
        <v>0</v>
      </c>
      <c r="H157" s="84" t="n">
        <f aca="false">IFERROR(__xludf.dummyfunction("""COMPUTED_VALUE"""),0)</f>
        <v>0</v>
      </c>
      <c r="I157" s="84" t="n">
        <f aca="false">IFERROR(__xludf.dummyfunction("""COMPUTED_VALUE"""),0)</f>
        <v>0</v>
      </c>
      <c r="J157" s="84" t="n">
        <f aca="false">IFERROR(__xludf.dummyfunction("""COMPUTED_VALUE"""),0)</f>
        <v>0</v>
      </c>
      <c r="K157" s="84" t="n">
        <f aca="false">IFERROR(__xludf.dummyfunction("""COMPUTED_VALUE"""),0)</f>
        <v>0</v>
      </c>
      <c r="L157" s="84" t="n">
        <f aca="false">IFERROR(__xludf.dummyfunction("""COMPUTED_VALUE"""),0)</f>
        <v>0</v>
      </c>
      <c r="M157" s="84" t="n">
        <f aca="false">IFERROR(__xludf.dummyfunction("""COMPUTED_VALUE"""),0)</f>
        <v>0</v>
      </c>
      <c r="N157" s="84" t="n">
        <f aca="false">IFERROR(__xludf.dummyfunction("""COMPUTED_VALUE"""),0)</f>
        <v>0</v>
      </c>
      <c r="O157" s="84" t="n">
        <f aca="false">IFERROR(__xludf.dummyfunction("""COMPUTED_VALUE"""),0)</f>
        <v>0</v>
      </c>
      <c r="P157" s="84" t="n">
        <f aca="false">IFERROR(__xludf.dummyfunction("""COMPUTED_VALUE"""),0)</f>
        <v>0</v>
      </c>
      <c r="Q157" s="84" t="n">
        <f aca="false">IFERROR(__xludf.dummyfunction("""COMPUTED_VALUE"""),0)</f>
        <v>0</v>
      </c>
      <c r="R157" s="84" t="n">
        <f aca="false">IFERROR(__xludf.dummyfunction("""COMPUTED_VALUE"""),0)</f>
        <v>0</v>
      </c>
      <c r="S157" s="84" t="n">
        <f aca="false">IFERROR(__xludf.dummyfunction("""COMPUTED_VALUE"""),0)</f>
        <v>0</v>
      </c>
      <c r="T157" s="84" t="n">
        <f aca="false">IFERROR(__xludf.dummyfunction("""COMPUTED_VALUE"""),0)</f>
        <v>0</v>
      </c>
      <c r="U157" s="84" t="n">
        <f aca="false">IFERROR(__xludf.dummyfunction("""COMPUTED_VALUE"""),0)</f>
        <v>0</v>
      </c>
      <c r="V157" s="84" t="n">
        <f aca="false">IFERROR(__xludf.dummyfunction("""COMPUTED_VALUE"""),0)</f>
        <v>0</v>
      </c>
      <c r="W157" s="84" t="n">
        <f aca="false">IFERROR(__xludf.dummyfunction("""COMPUTED_VALUE"""),0)</f>
        <v>0</v>
      </c>
      <c r="X157" s="84" t="n">
        <f aca="false">IFERROR(__xludf.dummyfunction("""COMPUTED_VALUE"""),0)</f>
        <v>0</v>
      </c>
      <c r="Y157" s="84" t="n">
        <f aca="false">IFERROR(__xludf.dummyfunction("""COMPUTED_VALUE"""),0)</f>
        <v>0</v>
      </c>
      <c r="Z157" s="84" t="n">
        <f aca="false">IFERROR(__xludf.dummyfunction("""COMPUTED_VALUE"""),0)</f>
        <v>0</v>
      </c>
      <c r="AA157" s="84" t="n">
        <f aca="false">IFERROR(__xludf.dummyfunction("""COMPUTED_VALUE"""),0)</f>
        <v>0</v>
      </c>
      <c r="AB157" s="84" t="n">
        <f aca="false">IFERROR(__xludf.dummyfunction("""COMPUTED_VALUE"""),0)</f>
        <v>0</v>
      </c>
      <c r="AC157" s="84" t="n">
        <f aca="false">IFERROR(__xludf.dummyfunction("""COMPUTED_VALUE"""),0)</f>
        <v>0</v>
      </c>
      <c r="AD157" s="84" t="n">
        <f aca="false">IFERROR(__xludf.dummyfunction("""COMPUTED_VALUE"""),0)</f>
        <v>0</v>
      </c>
      <c r="AE157" s="84" t="n">
        <f aca="false">IFERROR(__xludf.dummyfunction("""COMPUTED_VALUE"""),0)</f>
        <v>0</v>
      </c>
      <c r="AF157" s="84" t="n">
        <f aca="false">IFERROR(__xludf.dummyfunction("""COMPUTED_VALUE"""),0)</f>
        <v>0</v>
      </c>
      <c r="AG157" s="84" t="n">
        <f aca="false">IFERROR(__xludf.dummyfunction("""COMPUTED_VALUE"""),0)</f>
        <v>0</v>
      </c>
      <c r="AH157" s="84" t="n">
        <f aca="false">IFERROR(__xludf.dummyfunction("""COMPUTED_VALUE"""),0)</f>
        <v>0</v>
      </c>
      <c r="AI157" s="84" t="n">
        <f aca="false">IFERROR(__xludf.dummyfunction("""COMPUTED_VALUE"""),0)</f>
        <v>0</v>
      </c>
      <c r="AJ157" s="84" t="n">
        <f aca="false">IFERROR(__xludf.dummyfunction("""COMPUTED_VALUE"""),0)</f>
        <v>0</v>
      </c>
      <c r="AK157" s="84" t="n">
        <f aca="false">IFERROR(__xludf.dummyfunction("""COMPUTED_VALUE"""),0)</f>
        <v>0</v>
      </c>
      <c r="AL157" s="84" t="n">
        <f aca="false">IFERROR(__xludf.dummyfunction("""COMPUTED_VALUE"""),0)</f>
        <v>0</v>
      </c>
      <c r="AM157" s="84" t="n">
        <f aca="false">IFERROR(__xludf.dummyfunction("""COMPUTED_VALUE"""),0)</f>
        <v>0</v>
      </c>
      <c r="AN157" s="84" t="n">
        <f aca="false">IFERROR(__xludf.dummyfunction("""COMPUTED_VALUE"""),0)</f>
        <v>0</v>
      </c>
      <c r="AO157" s="84" t="n">
        <f aca="false">IFERROR(__xludf.dummyfunction("""COMPUTED_VALUE"""),0)</f>
        <v>0</v>
      </c>
      <c r="AP157" s="84" t="n">
        <f aca="false">IFERROR(__xludf.dummyfunction("""COMPUTED_VALUE"""),0)</f>
        <v>0</v>
      </c>
      <c r="AQ157" s="84" t="n">
        <f aca="false">IFERROR(__xludf.dummyfunction("""COMPUTED_VALUE"""),0)</f>
        <v>0</v>
      </c>
      <c r="AR157" s="84" t="n">
        <f aca="false">IFERROR(__xludf.dummyfunction("""COMPUTED_VALUE"""),0)</f>
        <v>0</v>
      </c>
      <c r="AS157" s="84" t="n">
        <f aca="false">IFERROR(__xludf.dummyfunction("""COMPUTED_VALUE"""),0)</f>
        <v>0</v>
      </c>
      <c r="AT157" s="84" t="n">
        <f aca="false">IFERROR(__xludf.dummyfunction("""COMPUTED_VALUE"""),0)</f>
        <v>0</v>
      </c>
      <c r="AU157" s="84" t="n">
        <f aca="false">IFERROR(__xludf.dummyfunction("""COMPUTED_VALUE"""),0)</f>
        <v>0</v>
      </c>
      <c r="AV157" s="84" t="n">
        <f aca="false">IFERROR(__xludf.dummyfunction("""COMPUTED_VALUE"""),0)</f>
        <v>0</v>
      </c>
      <c r="AW157" s="84" t="n">
        <f aca="false">IFERROR(__xludf.dummyfunction("""COMPUTED_VALUE"""),0)</f>
        <v>0</v>
      </c>
      <c r="AX157" s="84" t="n">
        <f aca="false">IFERROR(__xludf.dummyfunction("""COMPUTED_VALUE"""),0)</f>
        <v>0</v>
      </c>
      <c r="AY157" s="84" t="n">
        <f aca="false">IFERROR(__xludf.dummyfunction("""COMPUTED_VALUE"""),0)</f>
        <v>0</v>
      </c>
      <c r="AZ157" s="84" t="n">
        <f aca="false">IFERROR(__xludf.dummyfunction("""COMPUTED_VALUE"""),0)</f>
        <v>0</v>
      </c>
      <c r="BA157" s="84" t="n">
        <f aca="false">IFERROR(__xludf.dummyfunction("""COMPUTED_VALUE"""),0)</f>
        <v>0</v>
      </c>
    </row>
    <row r="158" customFormat="false" ht="15.75" hidden="false" customHeight="false" outlineLevel="0" collapsed="false">
      <c r="A158" s="78" t="str">
        <f aca="false">IFERROR(__xludf.dummyfunction("""COMPUTED_VALUE"""),"buyer_unit_number")</f>
        <v>buyer_unit_number</v>
      </c>
      <c r="B158" s="72" t="n">
        <f aca="false">IFERROR(__xludf.dummyfunction("""COMPUTED_VALUE"""),0)</f>
        <v>0</v>
      </c>
      <c r="C158" s="82" t="n">
        <f aca="false">IFERROR(__xludf.dummyfunction("""COMPUTED_VALUE"""),0)</f>
        <v>0</v>
      </c>
      <c r="D158" s="83" t="n">
        <f aca="false">IFERROR(__xludf.dummyfunction("""COMPUTED_VALUE"""),0)</f>
        <v>0</v>
      </c>
      <c r="E158" s="84" t="n">
        <f aca="false">IFERROR(__xludf.dummyfunction("""COMPUTED_VALUE"""),0)</f>
        <v>0</v>
      </c>
      <c r="F158" s="84" t="n">
        <f aca="false">IFERROR(__xludf.dummyfunction("""COMPUTED_VALUE"""),0)</f>
        <v>0</v>
      </c>
      <c r="G158" s="84" t="n">
        <f aca="false">IFERROR(__xludf.dummyfunction("""COMPUTED_VALUE"""),0)</f>
        <v>0</v>
      </c>
      <c r="H158" s="84" t="n">
        <f aca="false">IFERROR(__xludf.dummyfunction("""COMPUTED_VALUE"""),0)</f>
        <v>0</v>
      </c>
      <c r="I158" s="84" t="n">
        <f aca="false">IFERROR(__xludf.dummyfunction("""COMPUTED_VALUE"""),0)</f>
        <v>0</v>
      </c>
      <c r="J158" s="84" t="n">
        <f aca="false">IFERROR(__xludf.dummyfunction("""COMPUTED_VALUE"""),0)</f>
        <v>0</v>
      </c>
      <c r="K158" s="84" t="n">
        <f aca="false">IFERROR(__xludf.dummyfunction("""COMPUTED_VALUE"""),0)</f>
        <v>0</v>
      </c>
      <c r="L158" s="84" t="n">
        <f aca="false">IFERROR(__xludf.dummyfunction("""COMPUTED_VALUE"""),0)</f>
        <v>0</v>
      </c>
      <c r="M158" s="84" t="n">
        <f aca="false">IFERROR(__xludf.dummyfunction("""COMPUTED_VALUE"""),0)</f>
        <v>0</v>
      </c>
      <c r="N158" s="84" t="n">
        <f aca="false">IFERROR(__xludf.dummyfunction("""COMPUTED_VALUE"""),0)</f>
        <v>0</v>
      </c>
      <c r="O158" s="84" t="n">
        <f aca="false">IFERROR(__xludf.dummyfunction("""COMPUTED_VALUE"""),0)</f>
        <v>0</v>
      </c>
      <c r="P158" s="84" t="n">
        <f aca="false">IFERROR(__xludf.dummyfunction("""COMPUTED_VALUE"""),0)</f>
        <v>0</v>
      </c>
      <c r="Q158" s="84" t="n">
        <f aca="false">IFERROR(__xludf.dummyfunction("""COMPUTED_VALUE"""),0)</f>
        <v>0</v>
      </c>
      <c r="R158" s="84" t="n">
        <f aca="false">IFERROR(__xludf.dummyfunction("""COMPUTED_VALUE"""),0)</f>
        <v>0</v>
      </c>
      <c r="S158" s="84" t="n">
        <f aca="false">IFERROR(__xludf.dummyfunction("""COMPUTED_VALUE"""),0)</f>
        <v>0</v>
      </c>
      <c r="T158" s="84" t="n">
        <f aca="false">IFERROR(__xludf.dummyfunction("""COMPUTED_VALUE"""),0)</f>
        <v>0</v>
      </c>
      <c r="U158" s="84" t="n">
        <f aca="false">IFERROR(__xludf.dummyfunction("""COMPUTED_VALUE"""),0)</f>
        <v>0</v>
      </c>
      <c r="V158" s="84" t="n">
        <f aca="false">IFERROR(__xludf.dummyfunction("""COMPUTED_VALUE"""),0)</f>
        <v>0</v>
      </c>
      <c r="W158" s="84" t="n">
        <f aca="false">IFERROR(__xludf.dummyfunction("""COMPUTED_VALUE"""),0)</f>
        <v>0</v>
      </c>
      <c r="X158" s="84" t="n">
        <f aca="false">IFERROR(__xludf.dummyfunction("""COMPUTED_VALUE"""),0)</f>
        <v>0</v>
      </c>
      <c r="Y158" s="84" t="n">
        <f aca="false">IFERROR(__xludf.dummyfunction("""COMPUTED_VALUE"""),0)</f>
        <v>0</v>
      </c>
      <c r="Z158" s="84" t="n">
        <f aca="false">IFERROR(__xludf.dummyfunction("""COMPUTED_VALUE"""),0)</f>
        <v>0</v>
      </c>
      <c r="AA158" s="84" t="n">
        <f aca="false">IFERROR(__xludf.dummyfunction("""COMPUTED_VALUE"""),0)</f>
        <v>0</v>
      </c>
      <c r="AB158" s="84" t="n">
        <f aca="false">IFERROR(__xludf.dummyfunction("""COMPUTED_VALUE"""),0)</f>
        <v>0</v>
      </c>
      <c r="AC158" s="84" t="n">
        <f aca="false">IFERROR(__xludf.dummyfunction("""COMPUTED_VALUE"""),0)</f>
        <v>0</v>
      </c>
      <c r="AD158" s="84" t="n">
        <f aca="false">IFERROR(__xludf.dummyfunction("""COMPUTED_VALUE"""),0)</f>
        <v>0</v>
      </c>
      <c r="AE158" s="84" t="n">
        <f aca="false">IFERROR(__xludf.dummyfunction("""COMPUTED_VALUE"""),0)</f>
        <v>0</v>
      </c>
      <c r="AF158" s="84" t="n">
        <f aca="false">IFERROR(__xludf.dummyfunction("""COMPUTED_VALUE"""),0)</f>
        <v>0</v>
      </c>
      <c r="AG158" s="84" t="n">
        <f aca="false">IFERROR(__xludf.dummyfunction("""COMPUTED_VALUE"""),0)</f>
        <v>0</v>
      </c>
      <c r="AH158" s="84" t="n">
        <f aca="false">IFERROR(__xludf.dummyfunction("""COMPUTED_VALUE"""),0)</f>
        <v>0</v>
      </c>
      <c r="AI158" s="84" t="n">
        <f aca="false">IFERROR(__xludf.dummyfunction("""COMPUTED_VALUE"""),0)</f>
        <v>0</v>
      </c>
      <c r="AJ158" s="84" t="n">
        <f aca="false">IFERROR(__xludf.dummyfunction("""COMPUTED_VALUE"""),0)</f>
        <v>0</v>
      </c>
      <c r="AK158" s="84" t="n">
        <f aca="false">IFERROR(__xludf.dummyfunction("""COMPUTED_VALUE"""),0)</f>
        <v>0</v>
      </c>
      <c r="AL158" s="84" t="n">
        <f aca="false">IFERROR(__xludf.dummyfunction("""COMPUTED_VALUE"""),0)</f>
        <v>0</v>
      </c>
      <c r="AM158" s="84" t="n">
        <f aca="false">IFERROR(__xludf.dummyfunction("""COMPUTED_VALUE"""),0)</f>
        <v>0</v>
      </c>
      <c r="AN158" s="84" t="n">
        <f aca="false">IFERROR(__xludf.dummyfunction("""COMPUTED_VALUE"""),0)</f>
        <v>0</v>
      </c>
      <c r="AO158" s="84" t="n">
        <f aca="false">IFERROR(__xludf.dummyfunction("""COMPUTED_VALUE"""),0)</f>
        <v>0</v>
      </c>
      <c r="AP158" s="84" t="n">
        <f aca="false">IFERROR(__xludf.dummyfunction("""COMPUTED_VALUE"""),0)</f>
        <v>0</v>
      </c>
      <c r="AQ158" s="84" t="n">
        <f aca="false">IFERROR(__xludf.dummyfunction("""COMPUTED_VALUE"""),0)</f>
        <v>0</v>
      </c>
      <c r="AR158" s="84" t="n">
        <f aca="false">IFERROR(__xludf.dummyfunction("""COMPUTED_VALUE"""),0)</f>
        <v>0</v>
      </c>
      <c r="AS158" s="84" t="n">
        <f aca="false">IFERROR(__xludf.dummyfunction("""COMPUTED_VALUE"""),0)</f>
        <v>0</v>
      </c>
      <c r="AT158" s="84" t="n">
        <f aca="false">IFERROR(__xludf.dummyfunction("""COMPUTED_VALUE"""),0)</f>
        <v>0</v>
      </c>
      <c r="AU158" s="84" t="n">
        <f aca="false">IFERROR(__xludf.dummyfunction("""COMPUTED_VALUE"""),0)</f>
        <v>0</v>
      </c>
      <c r="AV158" s="84" t="n">
        <f aca="false">IFERROR(__xludf.dummyfunction("""COMPUTED_VALUE"""),0)</f>
        <v>0</v>
      </c>
      <c r="AW158" s="84" t="n">
        <f aca="false">IFERROR(__xludf.dummyfunction("""COMPUTED_VALUE"""),0)</f>
        <v>0</v>
      </c>
      <c r="AX158" s="84" t="n">
        <f aca="false">IFERROR(__xludf.dummyfunction("""COMPUTED_VALUE"""),0)</f>
        <v>0</v>
      </c>
      <c r="AY158" s="84" t="n">
        <f aca="false">IFERROR(__xludf.dummyfunction("""COMPUTED_VALUE"""),0)</f>
        <v>0</v>
      </c>
      <c r="AZ158" s="84" t="n">
        <f aca="false">IFERROR(__xludf.dummyfunction("""COMPUTED_VALUE"""),0)</f>
        <v>0</v>
      </c>
      <c r="BA158" s="84" t="n">
        <f aca="false">IFERROR(__xludf.dummyfunction("""COMPUTED_VALUE"""),0)</f>
        <v>0</v>
      </c>
    </row>
    <row r="159" customFormat="false" ht="15.75" hidden="false" customHeight="false" outlineLevel="0" collapsed="false">
      <c r="A159" s="78" t="str">
        <f aca="false">IFERROR(__xludf.dummyfunction("""COMPUTED_VALUE"""),"buyer_city")</f>
        <v>buyer_city</v>
      </c>
      <c r="B159" s="72" t="n">
        <f aca="false">IFERROR(__xludf.dummyfunction("""COMPUTED_VALUE"""),0)</f>
        <v>0</v>
      </c>
      <c r="C159" s="82" t="n">
        <f aca="false">IFERROR(__xludf.dummyfunction("""COMPUTED_VALUE"""),0)</f>
        <v>0</v>
      </c>
      <c r="D159" s="83" t="n">
        <f aca="false">IFERROR(__xludf.dummyfunction("""COMPUTED_VALUE"""),0)</f>
        <v>0</v>
      </c>
      <c r="E159" s="84" t="n">
        <f aca="false">IFERROR(__xludf.dummyfunction("""COMPUTED_VALUE"""),0)</f>
        <v>0</v>
      </c>
      <c r="F159" s="84" t="n">
        <f aca="false">IFERROR(__xludf.dummyfunction("""COMPUTED_VALUE"""),0)</f>
        <v>0</v>
      </c>
      <c r="G159" s="84" t="n">
        <f aca="false">IFERROR(__xludf.dummyfunction("""COMPUTED_VALUE"""),0)</f>
        <v>0</v>
      </c>
      <c r="H159" s="84" t="n">
        <f aca="false">IFERROR(__xludf.dummyfunction("""COMPUTED_VALUE"""),0)</f>
        <v>0</v>
      </c>
      <c r="I159" s="84" t="n">
        <f aca="false">IFERROR(__xludf.dummyfunction("""COMPUTED_VALUE"""),0)</f>
        <v>0</v>
      </c>
      <c r="J159" s="84" t="n">
        <f aca="false">IFERROR(__xludf.dummyfunction("""COMPUTED_VALUE"""),0)</f>
        <v>0</v>
      </c>
      <c r="K159" s="84" t="n">
        <f aca="false">IFERROR(__xludf.dummyfunction("""COMPUTED_VALUE"""),0)</f>
        <v>0</v>
      </c>
      <c r="L159" s="84" t="n">
        <f aca="false">IFERROR(__xludf.dummyfunction("""COMPUTED_VALUE"""),0)</f>
        <v>0</v>
      </c>
      <c r="M159" s="84" t="n">
        <f aca="false">IFERROR(__xludf.dummyfunction("""COMPUTED_VALUE"""),0)</f>
        <v>0</v>
      </c>
      <c r="N159" s="84" t="n">
        <f aca="false">IFERROR(__xludf.dummyfunction("""COMPUTED_VALUE"""),0)</f>
        <v>0</v>
      </c>
      <c r="O159" s="84" t="n">
        <f aca="false">IFERROR(__xludf.dummyfunction("""COMPUTED_VALUE"""),0)</f>
        <v>0</v>
      </c>
      <c r="P159" s="84" t="n">
        <f aca="false">IFERROR(__xludf.dummyfunction("""COMPUTED_VALUE"""),0)</f>
        <v>0</v>
      </c>
      <c r="Q159" s="84" t="n">
        <f aca="false">IFERROR(__xludf.dummyfunction("""COMPUTED_VALUE"""),0)</f>
        <v>0</v>
      </c>
      <c r="R159" s="84" t="n">
        <f aca="false">IFERROR(__xludf.dummyfunction("""COMPUTED_VALUE"""),0)</f>
        <v>0</v>
      </c>
      <c r="S159" s="84" t="n">
        <f aca="false">IFERROR(__xludf.dummyfunction("""COMPUTED_VALUE"""),0)</f>
        <v>0</v>
      </c>
      <c r="T159" s="84" t="n">
        <f aca="false">IFERROR(__xludf.dummyfunction("""COMPUTED_VALUE"""),0)</f>
        <v>0</v>
      </c>
      <c r="U159" s="84" t="n">
        <f aca="false">IFERROR(__xludf.dummyfunction("""COMPUTED_VALUE"""),0)</f>
        <v>0</v>
      </c>
      <c r="V159" s="84" t="n">
        <f aca="false">IFERROR(__xludf.dummyfunction("""COMPUTED_VALUE"""),0)</f>
        <v>0</v>
      </c>
      <c r="W159" s="84" t="n">
        <f aca="false">IFERROR(__xludf.dummyfunction("""COMPUTED_VALUE"""),0)</f>
        <v>0</v>
      </c>
      <c r="X159" s="84" t="n">
        <f aca="false">IFERROR(__xludf.dummyfunction("""COMPUTED_VALUE"""),0)</f>
        <v>0</v>
      </c>
      <c r="Y159" s="84" t="n">
        <f aca="false">IFERROR(__xludf.dummyfunction("""COMPUTED_VALUE"""),0)</f>
        <v>0</v>
      </c>
      <c r="Z159" s="84" t="n">
        <f aca="false">IFERROR(__xludf.dummyfunction("""COMPUTED_VALUE"""),0)</f>
        <v>0</v>
      </c>
      <c r="AA159" s="84" t="n">
        <f aca="false">IFERROR(__xludf.dummyfunction("""COMPUTED_VALUE"""),0)</f>
        <v>0</v>
      </c>
      <c r="AB159" s="84" t="n">
        <f aca="false">IFERROR(__xludf.dummyfunction("""COMPUTED_VALUE"""),0)</f>
        <v>0</v>
      </c>
      <c r="AC159" s="84" t="n">
        <f aca="false">IFERROR(__xludf.dummyfunction("""COMPUTED_VALUE"""),0)</f>
        <v>0</v>
      </c>
      <c r="AD159" s="84" t="n">
        <f aca="false">IFERROR(__xludf.dummyfunction("""COMPUTED_VALUE"""),0)</f>
        <v>0</v>
      </c>
      <c r="AE159" s="84" t="n">
        <f aca="false">IFERROR(__xludf.dummyfunction("""COMPUTED_VALUE"""),0)</f>
        <v>0</v>
      </c>
      <c r="AF159" s="84" t="n">
        <f aca="false">IFERROR(__xludf.dummyfunction("""COMPUTED_VALUE"""),0)</f>
        <v>0</v>
      </c>
      <c r="AG159" s="84" t="n">
        <f aca="false">IFERROR(__xludf.dummyfunction("""COMPUTED_VALUE"""),0)</f>
        <v>0</v>
      </c>
      <c r="AH159" s="84" t="n">
        <f aca="false">IFERROR(__xludf.dummyfunction("""COMPUTED_VALUE"""),0)</f>
        <v>0</v>
      </c>
      <c r="AI159" s="84" t="n">
        <f aca="false">IFERROR(__xludf.dummyfunction("""COMPUTED_VALUE"""),0)</f>
        <v>0</v>
      </c>
      <c r="AJ159" s="84" t="n">
        <f aca="false">IFERROR(__xludf.dummyfunction("""COMPUTED_VALUE"""),0)</f>
        <v>0</v>
      </c>
      <c r="AK159" s="84" t="n">
        <f aca="false">IFERROR(__xludf.dummyfunction("""COMPUTED_VALUE"""),0)</f>
        <v>0</v>
      </c>
      <c r="AL159" s="84" t="n">
        <f aca="false">IFERROR(__xludf.dummyfunction("""COMPUTED_VALUE"""),0)</f>
        <v>0</v>
      </c>
      <c r="AM159" s="84" t="n">
        <f aca="false">IFERROR(__xludf.dummyfunction("""COMPUTED_VALUE"""),0)</f>
        <v>0</v>
      </c>
      <c r="AN159" s="84" t="n">
        <f aca="false">IFERROR(__xludf.dummyfunction("""COMPUTED_VALUE"""),0)</f>
        <v>0</v>
      </c>
      <c r="AO159" s="84" t="n">
        <f aca="false">IFERROR(__xludf.dummyfunction("""COMPUTED_VALUE"""),0)</f>
        <v>0</v>
      </c>
      <c r="AP159" s="84" t="n">
        <f aca="false">IFERROR(__xludf.dummyfunction("""COMPUTED_VALUE"""),0)</f>
        <v>0</v>
      </c>
      <c r="AQ159" s="84" t="n">
        <f aca="false">IFERROR(__xludf.dummyfunction("""COMPUTED_VALUE"""),0)</f>
        <v>0</v>
      </c>
      <c r="AR159" s="84" t="n">
        <f aca="false">IFERROR(__xludf.dummyfunction("""COMPUTED_VALUE"""),0)</f>
        <v>0</v>
      </c>
      <c r="AS159" s="84" t="n">
        <f aca="false">IFERROR(__xludf.dummyfunction("""COMPUTED_VALUE"""),0)</f>
        <v>0</v>
      </c>
      <c r="AT159" s="84" t="n">
        <f aca="false">IFERROR(__xludf.dummyfunction("""COMPUTED_VALUE"""),0)</f>
        <v>0</v>
      </c>
      <c r="AU159" s="84" t="n">
        <f aca="false">IFERROR(__xludf.dummyfunction("""COMPUTED_VALUE"""),0)</f>
        <v>0</v>
      </c>
      <c r="AV159" s="84" t="n">
        <f aca="false">IFERROR(__xludf.dummyfunction("""COMPUTED_VALUE"""),0)</f>
        <v>0</v>
      </c>
      <c r="AW159" s="84" t="n">
        <f aca="false">IFERROR(__xludf.dummyfunction("""COMPUTED_VALUE"""),0)</f>
        <v>0</v>
      </c>
      <c r="AX159" s="84" t="n">
        <f aca="false">IFERROR(__xludf.dummyfunction("""COMPUTED_VALUE"""),0)</f>
        <v>0</v>
      </c>
      <c r="AY159" s="84" t="n">
        <f aca="false">IFERROR(__xludf.dummyfunction("""COMPUTED_VALUE"""),0)</f>
        <v>0</v>
      </c>
      <c r="AZ159" s="84" t="n">
        <f aca="false">IFERROR(__xludf.dummyfunction("""COMPUTED_VALUE"""),0)</f>
        <v>0</v>
      </c>
      <c r="BA159" s="84" t="n">
        <f aca="false">IFERROR(__xludf.dummyfunction("""COMPUTED_VALUE"""),0)</f>
        <v>0</v>
      </c>
    </row>
    <row r="160" customFormat="false" ht="15.75" hidden="false" customHeight="false" outlineLevel="0" collapsed="false">
      <c r="A160" s="78" t="str">
        <f aca="false">IFERROR(__xludf.dummyfunction("""COMPUTED_VALUE"""),"buyer_state")</f>
        <v>buyer_state</v>
      </c>
      <c r="B160" s="72" t="n">
        <f aca="false">IFERROR(__xludf.dummyfunction("""COMPUTED_VALUE"""),0)</f>
        <v>0</v>
      </c>
      <c r="C160" s="82" t="n">
        <f aca="false">IFERROR(__xludf.dummyfunction("""COMPUTED_VALUE"""),0)</f>
        <v>0</v>
      </c>
      <c r="D160" s="83" t="n">
        <f aca="false">IFERROR(__xludf.dummyfunction("""COMPUTED_VALUE"""),0)</f>
        <v>0</v>
      </c>
      <c r="E160" s="84" t="n">
        <f aca="false">IFERROR(__xludf.dummyfunction("""COMPUTED_VALUE"""),0)</f>
        <v>0</v>
      </c>
      <c r="F160" s="84" t="n">
        <f aca="false">IFERROR(__xludf.dummyfunction("""COMPUTED_VALUE"""),0)</f>
        <v>0</v>
      </c>
      <c r="G160" s="84" t="n">
        <f aca="false">IFERROR(__xludf.dummyfunction("""COMPUTED_VALUE"""),0)</f>
        <v>0</v>
      </c>
      <c r="H160" s="84" t="n">
        <f aca="false">IFERROR(__xludf.dummyfunction("""COMPUTED_VALUE"""),0)</f>
        <v>0</v>
      </c>
      <c r="I160" s="84" t="n">
        <f aca="false">IFERROR(__xludf.dummyfunction("""COMPUTED_VALUE"""),0)</f>
        <v>0</v>
      </c>
      <c r="J160" s="84" t="n">
        <f aca="false">IFERROR(__xludf.dummyfunction("""COMPUTED_VALUE"""),0)</f>
        <v>0</v>
      </c>
      <c r="K160" s="84" t="n">
        <f aca="false">IFERROR(__xludf.dummyfunction("""COMPUTED_VALUE"""),0)</f>
        <v>0</v>
      </c>
      <c r="L160" s="84" t="n">
        <f aca="false">IFERROR(__xludf.dummyfunction("""COMPUTED_VALUE"""),0)</f>
        <v>0</v>
      </c>
      <c r="M160" s="84" t="n">
        <f aca="false">IFERROR(__xludf.dummyfunction("""COMPUTED_VALUE"""),0)</f>
        <v>0</v>
      </c>
      <c r="N160" s="84" t="n">
        <f aca="false">IFERROR(__xludf.dummyfunction("""COMPUTED_VALUE"""),0)</f>
        <v>0</v>
      </c>
      <c r="O160" s="84" t="n">
        <f aca="false">IFERROR(__xludf.dummyfunction("""COMPUTED_VALUE"""),0)</f>
        <v>0</v>
      </c>
      <c r="P160" s="84" t="n">
        <f aca="false">IFERROR(__xludf.dummyfunction("""COMPUTED_VALUE"""),0)</f>
        <v>0</v>
      </c>
      <c r="Q160" s="84" t="n">
        <f aca="false">IFERROR(__xludf.dummyfunction("""COMPUTED_VALUE"""),0)</f>
        <v>0</v>
      </c>
      <c r="R160" s="84" t="n">
        <f aca="false">IFERROR(__xludf.dummyfunction("""COMPUTED_VALUE"""),0)</f>
        <v>0</v>
      </c>
      <c r="S160" s="84" t="n">
        <f aca="false">IFERROR(__xludf.dummyfunction("""COMPUTED_VALUE"""),0)</f>
        <v>0</v>
      </c>
      <c r="T160" s="84" t="n">
        <f aca="false">IFERROR(__xludf.dummyfunction("""COMPUTED_VALUE"""),0)</f>
        <v>0</v>
      </c>
      <c r="U160" s="84" t="n">
        <f aca="false">IFERROR(__xludf.dummyfunction("""COMPUTED_VALUE"""),0)</f>
        <v>0</v>
      </c>
      <c r="V160" s="84" t="n">
        <f aca="false">IFERROR(__xludf.dummyfunction("""COMPUTED_VALUE"""),0)</f>
        <v>0</v>
      </c>
      <c r="W160" s="84" t="n">
        <f aca="false">IFERROR(__xludf.dummyfunction("""COMPUTED_VALUE"""),0)</f>
        <v>0</v>
      </c>
      <c r="X160" s="84" t="n">
        <f aca="false">IFERROR(__xludf.dummyfunction("""COMPUTED_VALUE"""),0)</f>
        <v>0</v>
      </c>
      <c r="Y160" s="84" t="n">
        <f aca="false">IFERROR(__xludf.dummyfunction("""COMPUTED_VALUE"""),0)</f>
        <v>0</v>
      </c>
      <c r="Z160" s="84" t="n">
        <f aca="false">IFERROR(__xludf.dummyfunction("""COMPUTED_VALUE"""),0)</f>
        <v>0</v>
      </c>
      <c r="AA160" s="84" t="n">
        <f aca="false">IFERROR(__xludf.dummyfunction("""COMPUTED_VALUE"""),0)</f>
        <v>0</v>
      </c>
      <c r="AB160" s="84" t="n">
        <f aca="false">IFERROR(__xludf.dummyfunction("""COMPUTED_VALUE"""),0)</f>
        <v>0</v>
      </c>
      <c r="AC160" s="84" t="n">
        <f aca="false">IFERROR(__xludf.dummyfunction("""COMPUTED_VALUE"""),0)</f>
        <v>0</v>
      </c>
      <c r="AD160" s="84" t="n">
        <f aca="false">IFERROR(__xludf.dummyfunction("""COMPUTED_VALUE"""),0)</f>
        <v>0</v>
      </c>
      <c r="AE160" s="84" t="n">
        <f aca="false">IFERROR(__xludf.dummyfunction("""COMPUTED_VALUE"""),0)</f>
        <v>0</v>
      </c>
      <c r="AF160" s="84" t="n">
        <f aca="false">IFERROR(__xludf.dummyfunction("""COMPUTED_VALUE"""),0)</f>
        <v>0</v>
      </c>
      <c r="AG160" s="84" t="n">
        <f aca="false">IFERROR(__xludf.dummyfunction("""COMPUTED_VALUE"""),0)</f>
        <v>0</v>
      </c>
      <c r="AH160" s="84" t="n">
        <f aca="false">IFERROR(__xludf.dummyfunction("""COMPUTED_VALUE"""),0)</f>
        <v>0</v>
      </c>
      <c r="AI160" s="84" t="n">
        <f aca="false">IFERROR(__xludf.dummyfunction("""COMPUTED_VALUE"""),0)</f>
        <v>0</v>
      </c>
      <c r="AJ160" s="84" t="n">
        <f aca="false">IFERROR(__xludf.dummyfunction("""COMPUTED_VALUE"""),0)</f>
        <v>0</v>
      </c>
      <c r="AK160" s="84" t="n">
        <f aca="false">IFERROR(__xludf.dummyfunction("""COMPUTED_VALUE"""),0)</f>
        <v>0</v>
      </c>
      <c r="AL160" s="84" t="n">
        <f aca="false">IFERROR(__xludf.dummyfunction("""COMPUTED_VALUE"""),0)</f>
        <v>0</v>
      </c>
      <c r="AM160" s="84" t="n">
        <f aca="false">IFERROR(__xludf.dummyfunction("""COMPUTED_VALUE"""),0)</f>
        <v>0</v>
      </c>
      <c r="AN160" s="84" t="n">
        <f aca="false">IFERROR(__xludf.dummyfunction("""COMPUTED_VALUE"""),0)</f>
        <v>0</v>
      </c>
      <c r="AO160" s="84" t="n">
        <f aca="false">IFERROR(__xludf.dummyfunction("""COMPUTED_VALUE"""),0)</f>
        <v>0</v>
      </c>
      <c r="AP160" s="84" t="n">
        <f aca="false">IFERROR(__xludf.dummyfunction("""COMPUTED_VALUE"""),0)</f>
        <v>0</v>
      </c>
      <c r="AQ160" s="84" t="n">
        <f aca="false">IFERROR(__xludf.dummyfunction("""COMPUTED_VALUE"""),0)</f>
        <v>0</v>
      </c>
      <c r="AR160" s="84" t="n">
        <f aca="false">IFERROR(__xludf.dummyfunction("""COMPUTED_VALUE"""),0)</f>
        <v>0</v>
      </c>
      <c r="AS160" s="84" t="n">
        <f aca="false">IFERROR(__xludf.dummyfunction("""COMPUTED_VALUE"""),0)</f>
        <v>0</v>
      </c>
      <c r="AT160" s="84" t="n">
        <f aca="false">IFERROR(__xludf.dummyfunction("""COMPUTED_VALUE"""),0)</f>
        <v>0</v>
      </c>
      <c r="AU160" s="84" t="n">
        <f aca="false">IFERROR(__xludf.dummyfunction("""COMPUTED_VALUE"""),0)</f>
        <v>0</v>
      </c>
      <c r="AV160" s="84" t="n">
        <f aca="false">IFERROR(__xludf.dummyfunction("""COMPUTED_VALUE"""),0)</f>
        <v>0</v>
      </c>
      <c r="AW160" s="84" t="n">
        <f aca="false">IFERROR(__xludf.dummyfunction("""COMPUTED_VALUE"""),0)</f>
        <v>0</v>
      </c>
      <c r="AX160" s="84" t="n">
        <f aca="false">IFERROR(__xludf.dummyfunction("""COMPUTED_VALUE"""),0)</f>
        <v>0</v>
      </c>
      <c r="AY160" s="84" t="n">
        <f aca="false">IFERROR(__xludf.dummyfunction("""COMPUTED_VALUE"""),0)</f>
        <v>0</v>
      </c>
      <c r="AZ160" s="84" t="n">
        <f aca="false">IFERROR(__xludf.dummyfunction("""COMPUTED_VALUE"""),0)</f>
        <v>0</v>
      </c>
      <c r="BA160" s="84" t="n">
        <f aca="false">IFERROR(__xludf.dummyfunction("""COMPUTED_VALUE"""),0)</f>
        <v>0</v>
      </c>
    </row>
    <row r="161" customFormat="false" ht="15.75" hidden="false" customHeight="false" outlineLevel="0" collapsed="false">
      <c r="A161" s="78" t="str">
        <f aca="false">IFERROR(__xludf.dummyfunction("""COMPUTED_VALUE"""),"buyer_zip_code")</f>
        <v>buyer_zip_code</v>
      </c>
      <c r="B161" s="72" t="n">
        <f aca="false">IFERROR(__xludf.dummyfunction("""COMPUTED_VALUE"""),0)</f>
        <v>0</v>
      </c>
      <c r="C161" s="82" t="n">
        <f aca="false">IFERROR(__xludf.dummyfunction("""COMPUTED_VALUE"""),0)</f>
        <v>0</v>
      </c>
      <c r="D161" s="83" t="n">
        <f aca="false">IFERROR(__xludf.dummyfunction("""COMPUTED_VALUE"""),0)</f>
        <v>0</v>
      </c>
      <c r="E161" s="84" t="n">
        <f aca="false">IFERROR(__xludf.dummyfunction("""COMPUTED_VALUE"""),0)</f>
        <v>0</v>
      </c>
      <c r="F161" s="84" t="n">
        <f aca="false">IFERROR(__xludf.dummyfunction("""COMPUTED_VALUE"""),0)</f>
        <v>0</v>
      </c>
      <c r="G161" s="84" t="n">
        <f aca="false">IFERROR(__xludf.dummyfunction("""COMPUTED_VALUE"""),0)</f>
        <v>0</v>
      </c>
      <c r="H161" s="84" t="n">
        <f aca="false">IFERROR(__xludf.dummyfunction("""COMPUTED_VALUE"""),0)</f>
        <v>0</v>
      </c>
      <c r="I161" s="84" t="n">
        <f aca="false">IFERROR(__xludf.dummyfunction("""COMPUTED_VALUE"""),0)</f>
        <v>0</v>
      </c>
      <c r="J161" s="84" t="n">
        <f aca="false">IFERROR(__xludf.dummyfunction("""COMPUTED_VALUE"""),0)</f>
        <v>0</v>
      </c>
      <c r="K161" s="84" t="n">
        <f aca="false">IFERROR(__xludf.dummyfunction("""COMPUTED_VALUE"""),0)</f>
        <v>0</v>
      </c>
      <c r="L161" s="84" t="n">
        <f aca="false">IFERROR(__xludf.dummyfunction("""COMPUTED_VALUE"""),0)</f>
        <v>0</v>
      </c>
      <c r="M161" s="84" t="n">
        <f aca="false">IFERROR(__xludf.dummyfunction("""COMPUTED_VALUE"""),0)</f>
        <v>0</v>
      </c>
      <c r="N161" s="84" t="n">
        <f aca="false">IFERROR(__xludf.dummyfunction("""COMPUTED_VALUE"""),0)</f>
        <v>0</v>
      </c>
      <c r="O161" s="84" t="n">
        <f aca="false">IFERROR(__xludf.dummyfunction("""COMPUTED_VALUE"""),0)</f>
        <v>0</v>
      </c>
      <c r="P161" s="84" t="n">
        <f aca="false">IFERROR(__xludf.dummyfunction("""COMPUTED_VALUE"""),0)</f>
        <v>0</v>
      </c>
      <c r="Q161" s="84" t="n">
        <f aca="false">IFERROR(__xludf.dummyfunction("""COMPUTED_VALUE"""),0)</f>
        <v>0</v>
      </c>
      <c r="R161" s="84" t="n">
        <f aca="false">IFERROR(__xludf.dummyfunction("""COMPUTED_VALUE"""),0)</f>
        <v>0</v>
      </c>
      <c r="S161" s="84" t="n">
        <f aca="false">IFERROR(__xludf.dummyfunction("""COMPUTED_VALUE"""),0)</f>
        <v>0</v>
      </c>
      <c r="T161" s="84" t="n">
        <f aca="false">IFERROR(__xludf.dummyfunction("""COMPUTED_VALUE"""),0)</f>
        <v>0</v>
      </c>
      <c r="U161" s="84" t="n">
        <f aca="false">IFERROR(__xludf.dummyfunction("""COMPUTED_VALUE"""),0)</f>
        <v>0</v>
      </c>
      <c r="V161" s="84" t="n">
        <f aca="false">IFERROR(__xludf.dummyfunction("""COMPUTED_VALUE"""),0)</f>
        <v>0</v>
      </c>
      <c r="W161" s="84" t="n">
        <f aca="false">IFERROR(__xludf.dummyfunction("""COMPUTED_VALUE"""),0)</f>
        <v>0</v>
      </c>
      <c r="X161" s="84" t="n">
        <f aca="false">IFERROR(__xludf.dummyfunction("""COMPUTED_VALUE"""),0)</f>
        <v>0</v>
      </c>
      <c r="Y161" s="84" t="n">
        <f aca="false">IFERROR(__xludf.dummyfunction("""COMPUTED_VALUE"""),0)</f>
        <v>0</v>
      </c>
      <c r="Z161" s="84" t="n">
        <f aca="false">IFERROR(__xludf.dummyfunction("""COMPUTED_VALUE"""),0)</f>
        <v>0</v>
      </c>
      <c r="AA161" s="84" t="n">
        <f aca="false">IFERROR(__xludf.dummyfunction("""COMPUTED_VALUE"""),0)</f>
        <v>0</v>
      </c>
      <c r="AB161" s="84" t="n">
        <f aca="false">IFERROR(__xludf.dummyfunction("""COMPUTED_VALUE"""),0)</f>
        <v>0</v>
      </c>
      <c r="AC161" s="84" t="n">
        <f aca="false">IFERROR(__xludf.dummyfunction("""COMPUTED_VALUE"""),0)</f>
        <v>0</v>
      </c>
      <c r="AD161" s="84" t="n">
        <f aca="false">IFERROR(__xludf.dummyfunction("""COMPUTED_VALUE"""),0)</f>
        <v>0</v>
      </c>
      <c r="AE161" s="84" t="n">
        <f aca="false">IFERROR(__xludf.dummyfunction("""COMPUTED_VALUE"""),0)</f>
        <v>0</v>
      </c>
      <c r="AF161" s="84" t="n">
        <f aca="false">IFERROR(__xludf.dummyfunction("""COMPUTED_VALUE"""),0)</f>
        <v>0</v>
      </c>
      <c r="AG161" s="84" t="n">
        <f aca="false">IFERROR(__xludf.dummyfunction("""COMPUTED_VALUE"""),0)</f>
        <v>0</v>
      </c>
      <c r="AH161" s="84" t="n">
        <f aca="false">IFERROR(__xludf.dummyfunction("""COMPUTED_VALUE"""),0)</f>
        <v>0</v>
      </c>
      <c r="AI161" s="84" t="n">
        <f aca="false">IFERROR(__xludf.dummyfunction("""COMPUTED_VALUE"""),0)</f>
        <v>0</v>
      </c>
      <c r="AJ161" s="84" t="n">
        <f aca="false">IFERROR(__xludf.dummyfunction("""COMPUTED_VALUE"""),0)</f>
        <v>0</v>
      </c>
      <c r="AK161" s="84" t="n">
        <f aca="false">IFERROR(__xludf.dummyfunction("""COMPUTED_VALUE"""),0)</f>
        <v>0</v>
      </c>
      <c r="AL161" s="84" t="n">
        <f aca="false">IFERROR(__xludf.dummyfunction("""COMPUTED_VALUE"""),0)</f>
        <v>0</v>
      </c>
      <c r="AM161" s="84" t="n">
        <f aca="false">IFERROR(__xludf.dummyfunction("""COMPUTED_VALUE"""),0)</f>
        <v>0</v>
      </c>
      <c r="AN161" s="84" t="n">
        <f aca="false">IFERROR(__xludf.dummyfunction("""COMPUTED_VALUE"""),0)</f>
        <v>0</v>
      </c>
      <c r="AO161" s="84" t="n">
        <f aca="false">IFERROR(__xludf.dummyfunction("""COMPUTED_VALUE"""),0)</f>
        <v>0</v>
      </c>
      <c r="AP161" s="84" t="n">
        <f aca="false">IFERROR(__xludf.dummyfunction("""COMPUTED_VALUE"""),0)</f>
        <v>0</v>
      </c>
      <c r="AQ161" s="84" t="n">
        <f aca="false">IFERROR(__xludf.dummyfunction("""COMPUTED_VALUE"""),0)</f>
        <v>0</v>
      </c>
      <c r="AR161" s="84" t="n">
        <f aca="false">IFERROR(__xludf.dummyfunction("""COMPUTED_VALUE"""),0)</f>
        <v>0</v>
      </c>
      <c r="AS161" s="84" t="n">
        <f aca="false">IFERROR(__xludf.dummyfunction("""COMPUTED_VALUE"""),0)</f>
        <v>0</v>
      </c>
      <c r="AT161" s="84" t="n">
        <f aca="false">IFERROR(__xludf.dummyfunction("""COMPUTED_VALUE"""),0)</f>
        <v>0</v>
      </c>
      <c r="AU161" s="84" t="n">
        <f aca="false">IFERROR(__xludf.dummyfunction("""COMPUTED_VALUE"""),0)</f>
        <v>0</v>
      </c>
      <c r="AV161" s="84" t="n">
        <f aca="false">IFERROR(__xludf.dummyfunction("""COMPUTED_VALUE"""),0)</f>
        <v>0</v>
      </c>
      <c r="AW161" s="84" t="n">
        <f aca="false">IFERROR(__xludf.dummyfunction("""COMPUTED_VALUE"""),0)</f>
        <v>0</v>
      </c>
      <c r="AX161" s="84" t="n">
        <f aca="false">IFERROR(__xludf.dummyfunction("""COMPUTED_VALUE"""),0)</f>
        <v>0</v>
      </c>
      <c r="AY161" s="84" t="n">
        <f aca="false">IFERROR(__xludf.dummyfunction("""COMPUTED_VALUE"""),0)</f>
        <v>0</v>
      </c>
      <c r="AZ161" s="84" t="n">
        <f aca="false">IFERROR(__xludf.dummyfunction("""COMPUTED_VALUE"""),0)</f>
        <v>0</v>
      </c>
      <c r="BA161" s="84" t="n">
        <f aca="false">IFERROR(__xludf.dummyfunction("""COMPUTED_VALUE"""),0)</f>
        <v>0</v>
      </c>
    </row>
    <row r="162" customFormat="false" ht="15.75" hidden="false" customHeight="false" outlineLevel="0" collapsed="false">
      <c r="A162" s="78" t="str">
        <f aca="false">IFERROR(__xludf.dummyfunction("""COMPUTED_VALUE"""),"buyer_zip_plus_four_code")</f>
        <v>buyer_zip_plus_four_code</v>
      </c>
      <c r="B162" s="72" t="n">
        <f aca="false">IFERROR(__xludf.dummyfunction("""COMPUTED_VALUE"""),0)</f>
        <v>0</v>
      </c>
      <c r="C162" s="82" t="n">
        <f aca="false">IFERROR(__xludf.dummyfunction("""COMPUTED_VALUE"""),0)</f>
        <v>0</v>
      </c>
      <c r="D162" s="83" t="n">
        <f aca="false">IFERROR(__xludf.dummyfunction("""COMPUTED_VALUE"""),0)</f>
        <v>0</v>
      </c>
      <c r="E162" s="84" t="n">
        <f aca="false">IFERROR(__xludf.dummyfunction("""COMPUTED_VALUE"""),0)</f>
        <v>0</v>
      </c>
      <c r="F162" s="84" t="n">
        <f aca="false">IFERROR(__xludf.dummyfunction("""COMPUTED_VALUE"""),0)</f>
        <v>0</v>
      </c>
      <c r="G162" s="84" t="n">
        <f aca="false">IFERROR(__xludf.dummyfunction("""COMPUTED_VALUE"""),0)</f>
        <v>0</v>
      </c>
      <c r="H162" s="84" t="n">
        <f aca="false">IFERROR(__xludf.dummyfunction("""COMPUTED_VALUE"""),0)</f>
        <v>0</v>
      </c>
      <c r="I162" s="84" t="n">
        <f aca="false">IFERROR(__xludf.dummyfunction("""COMPUTED_VALUE"""),0)</f>
        <v>0</v>
      </c>
      <c r="J162" s="84" t="n">
        <f aca="false">IFERROR(__xludf.dummyfunction("""COMPUTED_VALUE"""),0)</f>
        <v>0</v>
      </c>
      <c r="K162" s="84" t="n">
        <f aca="false">IFERROR(__xludf.dummyfunction("""COMPUTED_VALUE"""),0)</f>
        <v>0</v>
      </c>
      <c r="L162" s="84" t="n">
        <f aca="false">IFERROR(__xludf.dummyfunction("""COMPUTED_VALUE"""),0)</f>
        <v>0</v>
      </c>
      <c r="M162" s="84" t="n">
        <f aca="false">IFERROR(__xludf.dummyfunction("""COMPUTED_VALUE"""),0)</f>
        <v>0</v>
      </c>
      <c r="N162" s="84" t="n">
        <f aca="false">IFERROR(__xludf.dummyfunction("""COMPUTED_VALUE"""),0)</f>
        <v>0</v>
      </c>
      <c r="O162" s="84" t="n">
        <f aca="false">IFERROR(__xludf.dummyfunction("""COMPUTED_VALUE"""),0)</f>
        <v>0</v>
      </c>
      <c r="P162" s="84" t="n">
        <f aca="false">IFERROR(__xludf.dummyfunction("""COMPUTED_VALUE"""),0)</f>
        <v>0</v>
      </c>
      <c r="Q162" s="84" t="n">
        <f aca="false">IFERROR(__xludf.dummyfunction("""COMPUTED_VALUE"""),0)</f>
        <v>0</v>
      </c>
      <c r="R162" s="84" t="n">
        <f aca="false">IFERROR(__xludf.dummyfunction("""COMPUTED_VALUE"""),0)</f>
        <v>0</v>
      </c>
      <c r="S162" s="84" t="n">
        <f aca="false">IFERROR(__xludf.dummyfunction("""COMPUTED_VALUE"""),0)</f>
        <v>0</v>
      </c>
      <c r="T162" s="84" t="n">
        <f aca="false">IFERROR(__xludf.dummyfunction("""COMPUTED_VALUE"""),0)</f>
        <v>0</v>
      </c>
      <c r="U162" s="84" t="n">
        <f aca="false">IFERROR(__xludf.dummyfunction("""COMPUTED_VALUE"""),0)</f>
        <v>0</v>
      </c>
      <c r="V162" s="84" t="n">
        <f aca="false">IFERROR(__xludf.dummyfunction("""COMPUTED_VALUE"""),0)</f>
        <v>0</v>
      </c>
      <c r="W162" s="84" t="n">
        <f aca="false">IFERROR(__xludf.dummyfunction("""COMPUTED_VALUE"""),0)</f>
        <v>0</v>
      </c>
      <c r="X162" s="84" t="n">
        <f aca="false">IFERROR(__xludf.dummyfunction("""COMPUTED_VALUE"""),0)</f>
        <v>0</v>
      </c>
      <c r="Y162" s="84" t="n">
        <f aca="false">IFERROR(__xludf.dummyfunction("""COMPUTED_VALUE"""),0)</f>
        <v>0</v>
      </c>
      <c r="Z162" s="84" t="n">
        <f aca="false">IFERROR(__xludf.dummyfunction("""COMPUTED_VALUE"""),0)</f>
        <v>0</v>
      </c>
      <c r="AA162" s="84" t="n">
        <f aca="false">IFERROR(__xludf.dummyfunction("""COMPUTED_VALUE"""),0)</f>
        <v>0</v>
      </c>
      <c r="AB162" s="84" t="n">
        <f aca="false">IFERROR(__xludf.dummyfunction("""COMPUTED_VALUE"""),0)</f>
        <v>0</v>
      </c>
      <c r="AC162" s="84" t="n">
        <f aca="false">IFERROR(__xludf.dummyfunction("""COMPUTED_VALUE"""),0)</f>
        <v>0</v>
      </c>
      <c r="AD162" s="84" t="n">
        <f aca="false">IFERROR(__xludf.dummyfunction("""COMPUTED_VALUE"""),0)</f>
        <v>0</v>
      </c>
      <c r="AE162" s="84" t="n">
        <f aca="false">IFERROR(__xludf.dummyfunction("""COMPUTED_VALUE"""),0)</f>
        <v>0</v>
      </c>
      <c r="AF162" s="84" t="n">
        <f aca="false">IFERROR(__xludf.dummyfunction("""COMPUTED_VALUE"""),0)</f>
        <v>0</v>
      </c>
      <c r="AG162" s="84" t="n">
        <f aca="false">IFERROR(__xludf.dummyfunction("""COMPUTED_VALUE"""),0)</f>
        <v>0</v>
      </c>
      <c r="AH162" s="84" t="n">
        <f aca="false">IFERROR(__xludf.dummyfunction("""COMPUTED_VALUE"""),0)</f>
        <v>0</v>
      </c>
      <c r="AI162" s="84" t="n">
        <f aca="false">IFERROR(__xludf.dummyfunction("""COMPUTED_VALUE"""),0)</f>
        <v>0</v>
      </c>
      <c r="AJ162" s="84" t="n">
        <f aca="false">IFERROR(__xludf.dummyfunction("""COMPUTED_VALUE"""),0)</f>
        <v>0</v>
      </c>
      <c r="AK162" s="84" t="n">
        <f aca="false">IFERROR(__xludf.dummyfunction("""COMPUTED_VALUE"""),0)</f>
        <v>0</v>
      </c>
      <c r="AL162" s="84" t="n">
        <f aca="false">IFERROR(__xludf.dummyfunction("""COMPUTED_VALUE"""),0)</f>
        <v>0</v>
      </c>
      <c r="AM162" s="84" t="n">
        <f aca="false">IFERROR(__xludf.dummyfunction("""COMPUTED_VALUE"""),0)</f>
        <v>0</v>
      </c>
      <c r="AN162" s="84" t="n">
        <f aca="false">IFERROR(__xludf.dummyfunction("""COMPUTED_VALUE"""),0)</f>
        <v>0</v>
      </c>
      <c r="AO162" s="84" t="n">
        <f aca="false">IFERROR(__xludf.dummyfunction("""COMPUTED_VALUE"""),0)</f>
        <v>0</v>
      </c>
      <c r="AP162" s="84" t="n">
        <f aca="false">IFERROR(__xludf.dummyfunction("""COMPUTED_VALUE"""),0)</f>
        <v>0</v>
      </c>
      <c r="AQ162" s="84" t="n">
        <f aca="false">IFERROR(__xludf.dummyfunction("""COMPUTED_VALUE"""),0)</f>
        <v>0</v>
      </c>
      <c r="AR162" s="84" t="n">
        <f aca="false">IFERROR(__xludf.dummyfunction("""COMPUTED_VALUE"""),0)</f>
        <v>0</v>
      </c>
      <c r="AS162" s="84" t="n">
        <f aca="false">IFERROR(__xludf.dummyfunction("""COMPUTED_VALUE"""),0)</f>
        <v>0</v>
      </c>
      <c r="AT162" s="84" t="n">
        <f aca="false">IFERROR(__xludf.dummyfunction("""COMPUTED_VALUE"""),0)</f>
        <v>0</v>
      </c>
      <c r="AU162" s="84" t="n">
        <f aca="false">IFERROR(__xludf.dummyfunction("""COMPUTED_VALUE"""),0)</f>
        <v>0</v>
      </c>
      <c r="AV162" s="84" t="n">
        <f aca="false">IFERROR(__xludf.dummyfunction("""COMPUTED_VALUE"""),0)</f>
        <v>0</v>
      </c>
      <c r="AW162" s="84" t="n">
        <f aca="false">IFERROR(__xludf.dummyfunction("""COMPUTED_VALUE"""),0)</f>
        <v>0</v>
      </c>
      <c r="AX162" s="84" t="n">
        <f aca="false">IFERROR(__xludf.dummyfunction("""COMPUTED_VALUE"""),0)</f>
        <v>0</v>
      </c>
      <c r="AY162" s="84" t="n">
        <f aca="false">IFERROR(__xludf.dummyfunction("""COMPUTED_VALUE"""),0)</f>
        <v>0</v>
      </c>
      <c r="AZ162" s="84" t="n">
        <f aca="false">IFERROR(__xludf.dummyfunction("""COMPUTED_VALUE"""),0)</f>
        <v>0</v>
      </c>
      <c r="BA162" s="84" t="n">
        <f aca="false">IFERROR(__xludf.dummyfunction("""COMPUTED_VALUE"""),0)</f>
        <v>0</v>
      </c>
    </row>
    <row r="163" customFormat="false" ht="15.75" hidden="false" customHeight="false" outlineLevel="0" collapsed="false">
      <c r="A163" s="78" t="str">
        <f aca="false">IFERROR(__xludf.dummyfunction("""COMPUTED_VALUE"""),"lender_name")</f>
        <v>lender_name</v>
      </c>
      <c r="B163" s="72" t="n">
        <f aca="false">IFERROR(__xludf.dummyfunction("""COMPUTED_VALUE"""),4327238)</f>
        <v>4327238</v>
      </c>
      <c r="C163" s="82" t="n">
        <f aca="false">IFERROR(__xludf.dummyfunction("""COMPUTED_VALUE"""),36224)</f>
        <v>36224</v>
      </c>
      <c r="D163" s="83" t="n">
        <f aca="false">IFERROR(__xludf.dummyfunction("""COMPUTED_VALUE"""),12064)</f>
        <v>12064</v>
      </c>
      <c r="E163" s="84" t="n">
        <f aca="false">IFERROR(__xludf.dummyfunction("""COMPUTED_VALUE"""),115284)</f>
        <v>115284</v>
      </c>
      <c r="F163" s="84" t="n">
        <f aca="false">IFERROR(__xludf.dummyfunction("""COMPUTED_VALUE"""),64818)</f>
        <v>64818</v>
      </c>
      <c r="G163" s="84" t="n">
        <f aca="false">IFERROR(__xludf.dummyfunction("""COMPUTED_VALUE"""),501057)</f>
        <v>501057</v>
      </c>
      <c r="H163" s="84" t="n">
        <f aca="false">IFERROR(__xludf.dummyfunction("""COMPUTED_VALUE"""),77901)</f>
        <v>77901</v>
      </c>
      <c r="I163" s="84" t="n">
        <f aca="false">IFERROR(__xludf.dummyfunction("""COMPUTED_VALUE"""),24048)</f>
        <v>24048</v>
      </c>
      <c r="J163" s="84" t="n">
        <f aca="false">IFERROR(__xludf.dummyfunction("""COMPUTED_VALUE"""),11842)</f>
        <v>11842</v>
      </c>
      <c r="K163" s="84" t="n">
        <f aca="false">IFERROR(__xludf.dummyfunction("""COMPUTED_VALUE"""),14327)</f>
        <v>14327</v>
      </c>
      <c r="L163" s="84" t="n">
        <f aca="false">IFERROR(__xludf.dummyfunction("""COMPUTED_VALUE"""),327867)</f>
        <v>327867</v>
      </c>
      <c r="M163" s="84" t="n">
        <f aca="false">IFERROR(__xludf.dummyfunction("""COMPUTED_VALUE"""),99994)</f>
        <v>99994</v>
      </c>
      <c r="N163" s="84" t="n">
        <f aca="false">IFERROR(__xludf.dummyfunction("""COMPUTED_VALUE"""),13293)</f>
        <v>13293</v>
      </c>
      <c r="O163" s="84" t="n">
        <f aca="false">IFERROR(__xludf.dummyfunction("""COMPUTED_VALUE"""),25983)</f>
        <v>25983</v>
      </c>
      <c r="P163" s="84" t="n">
        <f aca="false">IFERROR(__xludf.dummyfunction("""COMPUTED_VALUE"""),215882)</f>
        <v>215882</v>
      </c>
      <c r="Q163" s="84" t="n">
        <f aca="false">IFERROR(__xludf.dummyfunction("""COMPUTED_VALUE"""),93175)</f>
        <v>93175</v>
      </c>
      <c r="R163" s="84" t="n">
        <f aca="false">IFERROR(__xludf.dummyfunction("""COMPUTED_VALUE"""),67841)</f>
        <v>67841</v>
      </c>
      <c r="S163" s="84" t="n">
        <f aca="false">IFERROR(__xludf.dummyfunction("""COMPUTED_VALUE"""),23544)</f>
        <v>23544</v>
      </c>
      <c r="T163" s="84" t="n">
        <f aca="false">IFERROR(__xludf.dummyfunction("""COMPUTED_VALUE"""),31530)</f>
        <v>31530</v>
      </c>
      <c r="U163" s="84" t="n">
        <f aca="false">IFERROR(__xludf.dummyfunction("""COMPUTED_VALUE"""),33710)</f>
        <v>33710</v>
      </c>
      <c r="V163" s="84" t="n">
        <f aca="false">IFERROR(__xludf.dummyfunction("""COMPUTED_VALUE"""),7053)</f>
        <v>7053</v>
      </c>
      <c r="W163" s="84" t="n">
        <f aca="false">IFERROR(__xludf.dummyfunction("""COMPUTED_VALUE"""),55941)</f>
        <v>55941</v>
      </c>
      <c r="X163" s="84" t="n">
        <f aca="false">IFERROR(__xludf.dummyfunction("""COMPUTED_VALUE"""),54640)</f>
        <v>54640</v>
      </c>
      <c r="Y163" s="84" t="n">
        <f aca="false">IFERROR(__xludf.dummyfunction("""COMPUTED_VALUE"""),61166)</f>
        <v>61166</v>
      </c>
      <c r="Z163" s="84" t="n">
        <f aca="false">IFERROR(__xludf.dummyfunction("""COMPUTED_VALUE"""),62040)</f>
        <v>62040</v>
      </c>
      <c r="AA163" s="84" t="n">
        <f aca="false">IFERROR(__xludf.dummyfunction("""COMPUTED_VALUE"""),6376)</f>
        <v>6376</v>
      </c>
      <c r="AB163" s="84" t="n">
        <f aca="false">IFERROR(__xludf.dummyfunction("""COMPUTED_VALUE"""),67807)</f>
        <v>67807</v>
      </c>
      <c r="AC163" s="84" t="n">
        <f aca="false">IFERROR(__xludf.dummyfunction("""COMPUTED_VALUE"""),27471)</f>
        <v>27471</v>
      </c>
      <c r="AD163" s="84" t="n">
        <f aca="false">IFERROR(__xludf.dummyfunction("""COMPUTED_VALUE"""),22463)</f>
        <v>22463</v>
      </c>
      <c r="AE163" s="84" t="n">
        <f aca="false">IFERROR(__xludf.dummyfunction("""COMPUTED_VALUE"""),23788)</f>
        <v>23788</v>
      </c>
      <c r="AF163" s="84" t="n">
        <f aca="false">IFERROR(__xludf.dummyfunction("""COMPUTED_VALUE"""),10458)</f>
        <v>10458</v>
      </c>
      <c r="AG163" s="84" t="n">
        <f aca="false">IFERROR(__xludf.dummyfunction("""COMPUTED_VALUE"""),100720)</f>
        <v>100720</v>
      </c>
      <c r="AH163" s="84" t="n">
        <f aca="false">IFERROR(__xludf.dummyfunction("""COMPUTED_VALUE"""),23810)</f>
        <v>23810</v>
      </c>
      <c r="AI163" s="84" t="n">
        <f aca="false">IFERROR(__xludf.dummyfunction("""COMPUTED_VALUE"""),162039)</f>
        <v>162039</v>
      </c>
      <c r="AJ163" s="84" t="n">
        <f aca="false">IFERROR(__xludf.dummyfunction("""COMPUTED_VALUE"""),132209)</f>
        <v>132209</v>
      </c>
      <c r="AK163" s="84" t="n">
        <f aca="false">IFERROR(__xludf.dummyfunction("""COMPUTED_VALUE"""),48541)</f>
        <v>48541</v>
      </c>
      <c r="AL163" s="84" t="n">
        <f aca="false">IFERROR(__xludf.dummyfunction("""COMPUTED_VALUE"""),376635)</f>
        <v>376635</v>
      </c>
      <c r="AM163" s="84" t="n">
        <f aca="false">IFERROR(__xludf.dummyfunction("""COMPUTED_VALUE"""),61994)</f>
        <v>61994</v>
      </c>
      <c r="AN163" s="84" t="n">
        <f aca="false">IFERROR(__xludf.dummyfunction("""COMPUTED_VALUE"""),69667)</f>
        <v>69667</v>
      </c>
      <c r="AO163" s="84" t="n">
        <f aca="false">IFERROR(__xludf.dummyfunction("""COMPUTED_VALUE"""),206231)</f>
        <v>206231</v>
      </c>
      <c r="AP163" s="84" t="n">
        <f aca="false">IFERROR(__xludf.dummyfunction("""COMPUTED_VALUE"""),9160)</f>
        <v>9160</v>
      </c>
      <c r="AQ163" s="84" t="n">
        <f aca="false">IFERROR(__xludf.dummyfunction("""COMPUTED_VALUE"""),76888)</f>
        <v>76888</v>
      </c>
      <c r="AR163" s="84" t="n">
        <f aca="false">IFERROR(__xludf.dummyfunction("""COMPUTED_VALUE"""),1249)</f>
        <v>1249</v>
      </c>
      <c r="AS163" s="84" t="n">
        <f aca="false">IFERROR(__xludf.dummyfunction("""COMPUTED_VALUE"""),87500)</f>
        <v>87500</v>
      </c>
      <c r="AT163" s="84" t="n">
        <f aca="false">IFERROR(__xludf.dummyfunction("""COMPUTED_VALUE"""),411807)</f>
        <v>411807</v>
      </c>
      <c r="AU163" s="84" t="n">
        <f aca="false">IFERROR(__xludf.dummyfunction("""COMPUTED_VALUE"""),39056)</f>
        <v>39056</v>
      </c>
      <c r="AV163" s="84" t="n">
        <f aca="false">IFERROR(__xludf.dummyfunction("""COMPUTED_VALUE"""),0)</f>
        <v>0</v>
      </c>
      <c r="AW163" s="84" t="n">
        <f aca="false">IFERROR(__xludf.dummyfunction("""COMPUTED_VALUE"""),64812)</f>
        <v>64812</v>
      </c>
      <c r="AX163" s="84" t="n">
        <f aca="false">IFERROR(__xludf.dummyfunction("""COMPUTED_VALUE"""),121567)</f>
        <v>121567</v>
      </c>
      <c r="AY163" s="84" t="n">
        <f aca="false">IFERROR(__xludf.dummyfunction("""COMPUTED_VALUE"""),13511)</f>
        <v>13511</v>
      </c>
      <c r="AZ163" s="84" t="n">
        <f aca="false">IFERROR(__xludf.dummyfunction("""COMPUTED_VALUE"""),122923)</f>
        <v>122923</v>
      </c>
      <c r="BA163" s="84" t="n">
        <f aca="false">IFERROR(__xludf.dummyfunction("""COMPUTED_VALUE"""),7332)</f>
        <v>7332</v>
      </c>
    </row>
    <row r="164" customFormat="false" ht="15.75" hidden="false" customHeight="false" outlineLevel="0" collapsed="false">
      <c r="A164" s="78" t="str">
        <f aca="false">IFERROR(__xludf.dummyfunction("""COMPUTED_VALUE"""),"lender_type")</f>
        <v>lender_type</v>
      </c>
      <c r="B164" s="72" t="n">
        <f aca="false">IFERROR(__xludf.dummyfunction("""COMPUTED_VALUE"""),0)</f>
        <v>0</v>
      </c>
      <c r="C164" s="82" t="n">
        <f aca="false">IFERROR(__xludf.dummyfunction("""COMPUTED_VALUE"""),0)</f>
        <v>0</v>
      </c>
      <c r="D164" s="83" t="n">
        <f aca="false">IFERROR(__xludf.dummyfunction("""COMPUTED_VALUE"""),0)</f>
        <v>0</v>
      </c>
      <c r="E164" s="84" t="n">
        <f aca="false">IFERROR(__xludf.dummyfunction("""COMPUTED_VALUE"""),0)</f>
        <v>0</v>
      </c>
      <c r="F164" s="84" t="n">
        <f aca="false">IFERROR(__xludf.dummyfunction("""COMPUTED_VALUE"""),0)</f>
        <v>0</v>
      </c>
      <c r="G164" s="84" t="n">
        <f aca="false">IFERROR(__xludf.dummyfunction("""COMPUTED_VALUE"""),0)</f>
        <v>0</v>
      </c>
      <c r="H164" s="84" t="n">
        <f aca="false">IFERROR(__xludf.dummyfunction("""COMPUTED_VALUE"""),0)</f>
        <v>0</v>
      </c>
      <c r="I164" s="84" t="n">
        <f aca="false">IFERROR(__xludf.dummyfunction("""COMPUTED_VALUE"""),0)</f>
        <v>0</v>
      </c>
      <c r="J164" s="84" t="n">
        <f aca="false">IFERROR(__xludf.dummyfunction("""COMPUTED_VALUE"""),0)</f>
        <v>0</v>
      </c>
      <c r="K164" s="84" t="n">
        <f aca="false">IFERROR(__xludf.dummyfunction("""COMPUTED_VALUE"""),0)</f>
        <v>0</v>
      </c>
      <c r="L164" s="84" t="n">
        <f aca="false">IFERROR(__xludf.dummyfunction("""COMPUTED_VALUE"""),0)</f>
        <v>0</v>
      </c>
      <c r="M164" s="84" t="n">
        <f aca="false">IFERROR(__xludf.dummyfunction("""COMPUTED_VALUE"""),0)</f>
        <v>0</v>
      </c>
      <c r="N164" s="84" t="n">
        <f aca="false">IFERROR(__xludf.dummyfunction("""COMPUTED_VALUE"""),0)</f>
        <v>0</v>
      </c>
      <c r="O164" s="84" t="n">
        <f aca="false">IFERROR(__xludf.dummyfunction("""COMPUTED_VALUE"""),0)</f>
        <v>0</v>
      </c>
      <c r="P164" s="84" t="n">
        <f aca="false">IFERROR(__xludf.dummyfunction("""COMPUTED_VALUE"""),0)</f>
        <v>0</v>
      </c>
      <c r="Q164" s="84" t="n">
        <f aca="false">IFERROR(__xludf.dummyfunction("""COMPUTED_VALUE"""),0)</f>
        <v>0</v>
      </c>
      <c r="R164" s="84" t="n">
        <f aca="false">IFERROR(__xludf.dummyfunction("""COMPUTED_VALUE"""),0)</f>
        <v>0</v>
      </c>
      <c r="S164" s="84" t="n">
        <f aca="false">IFERROR(__xludf.dummyfunction("""COMPUTED_VALUE"""),0)</f>
        <v>0</v>
      </c>
      <c r="T164" s="84" t="n">
        <f aca="false">IFERROR(__xludf.dummyfunction("""COMPUTED_VALUE"""),0)</f>
        <v>0</v>
      </c>
      <c r="U164" s="84" t="n">
        <f aca="false">IFERROR(__xludf.dummyfunction("""COMPUTED_VALUE"""),0)</f>
        <v>0</v>
      </c>
      <c r="V164" s="84" t="n">
        <f aca="false">IFERROR(__xludf.dummyfunction("""COMPUTED_VALUE"""),0)</f>
        <v>0</v>
      </c>
      <c r="W164" s="84" t="n">
        <f aca="false">IFERROR(__xludf.dummyfunction("""COMPUTED_VALUE"""),0)</f>
        <v>0</v>
      </c>
      <c r="X164" s="84" t="n">
        <f aca="false">IFERROR(__xludf.dummyfunction("""COMPUTED_VALUE"""),0)</f>
        <v>0</v>
      </c>
      <c r="Y164" s="84" t="n">
        <f aca="false">IFERROR(__xludf.dummyfunction("""COMPUTED_VALUE"""),0)</f>
        <v>0</v>
      </c>
      <c r="Z164" s="84" t="n">
        <f aca="false">IFERROR(__xludf.dummyfunction("""COMPUTED_VALUE"""),0)</f>
        <v>0</v>
      </c>
      <c r="AA164" s="84" t="n">
        <f aca="false">IFERROR(__xludf.dummyfunction("""COMPUTED_VALUE"""),0)</f>
        <v>0</v>
      </c>
      <c r="AB164" s="84" t="n">
        <f aca="false">IFERROR(__xludf.dummyfunction("""COMPUTED_VALUE"""),0)</f>
        <v>0</v>
      </c>
      <c r="AC164" s="84" t="n">
        <f aca="false">IFERROR(__xludf.dummyfunction("""COMPUTED_VALUE"""),0)</f>
        <v>0</v>
      </c>
      <c r="AD164" s="84" t="n">
        <f aca="false">IFERROR(__xludf.dummyfunction("""COMPUTED_VALUE"""),0)</f>
        <v>0</v>
      </c>
      <c r="AE164" s="84" t="n">
        <f aca="false">IFERROR(__xludf.dummyfunction("""COMPUTED_VALUE"""),0)</f>
        <v>0</v>
      </c>
      <c r="AF164" s="84" t="n">
        <f aca="false">IFERROR(__xludf.dummyfunction("""COMPUTED_VALUE"""),0)</f>
        <v>0</v>
      </c>
      <c r="AG164" s="84" t="n">
        <f aca="false">IFERROR(__xludf.dummyfunction("""COMPUTED_VALUE"""),0)</f>
        <v>0</v>
      </c>
      <c r="AH164" s="84" t="n">
        <f aca="false">IFERROR(__xludf.dummyfunction("""COMPUTED_VALUE"""),0)</f>
        <v>0</v>
      </c>
      <c r="AI164" s="84" t="n">
        <f aca="false">IFERROR(__xludf.dummyfunction("""COMPUTED_VALUE"""),0)</f>
        <v>0</v>
      </c>
      <c r="AJ164" s="84" t="n">
        <f aca="false">IFERROR(__xludf.dummyfunction("""COMPUTED_VALUE"""),0)</f>
        <v>0</v>
      </c>
      <c r="AK164" s="84" t="n">
        <f aca="false">IFERROR(__xludf.dummyfunction("""COMPUTED_VALUE"""),0)</f>
        <v>0</v>
      </c>
      <c r="AL164" s="84" t="n">
        <f aca="false">IFERROR(__xludf.dummyfunction("""COMPUTED_VALUE"""),0)</f>
        <v>0</v>
      </c>
      <c r="AM164" s="84" t="n">
        <f aca="false">IFERROR(__xludf.dummyfunction("""COMPUTED_VALUE"""),0)</f>
        <v>0</v>
      </c>
      <c r="AN164" s="84" t="n">
        <f aca="false">IFERROR(__xludf.dummyfunction("""COMPUTED_VALUE"""),0)</f>
        <v>0</v>
      </c>
      <c r="AO164" s="84" t="n">
        <f aca="false">IFERROR(__xludf.dummyfunction("""COMPUTED_VALUE"""),0)</f>
        <v>0</v>
      </c>
      <c r="AP164" s="84" t="n">
        <f aca="false">IFERROR(__xludf.dummyfunction("""COMPUTED_VALUE"""),0)</f>
        <v>0</v>
      </c>
      <c r="AQ164" s="84" t="n">
        <f aca="false">IFERROR(__xludf.dummyfunction("""COMPUTED_VALUE"""),0)</f>
        <v>0</v>
      </c>
      <c r="AR164" s="84" t="n">
        <f aca="false">IFERROR(__xludf.dummyfunction("""COMPUTED_VALUE"""),0)</f>
        <v>0</v>
      </c>
      <c r="AS164" s="84" t="n">
        <f aca="false">IFERROR(__xludf.dummyfunction("""COMPUTED_VALUE"""),0)</f>
        <v>0</v>
      </c>
      <c r="AT164" s="84" t="n">
        <f aca="false">IFERROR(__xludf.dummyfunction("""COMPUTED_VALUE"""),0)</f>
        <v>0</v>
      </c>
      <c r="AU164" s="84" t="n">
        <f aca="false">IFERROR(__xludf.dummyfunction("""COMPUTED_VALUE"""),0)</f>
        <v>0</v>
      </c>
      <c r="AV164" s="84" t="n">
        <f aca="false">IFERROR(__xludf.dummyfunction("""COMPUTED_VALUE"""),0)</f>
        <v>0</v>
      </c>
      <c r="AW164" s="84" t="n">
        <f aca="false">IFERROR(__xludf.dummyfunction("""COMPUTED_VALUE"""),0)</f>
        <v>0</v>
      </c>
      <c r="AX164" s="84" t="n">
        <f aca="false">IFERROR(__xludf.dummyfunction("""COMPUTED_VALUE"""),0)</f>
        <v>0</v>
      </c>
      <c r="AY164" s="84" t="n">
        <f aca="false">IFERROR(__xludf.dummyfunction("""COMPUTED_VALUE"""),0)</f>
        <v>0</v>
      </c>
      <c r="AZ164" s="84" t="n">
        <f aca="false">IFERROR(__xludf.dummyfunction("""COMPUTED_VALUE"""),0)</f>
        <v>0</v>
      </c>
      <c r="BA164" s="84" t="n">
        <f aca="false">IFERROR(__xludf.dummyfunction("""COMPUTED_VALUE"""),0)</f>
        <v>0</v>
      </c>
    </row>
    <row r="165" customFormat="false" ht="15.75" hidden="false" customHeight="false" outlineLevel="0" collapsed="false">
      <c r="A165" s="78" t="str">
        <f aca="false">IFERROR(__xludf.dummyfunction("""COMPUTED_VALUE"""),"loan_amount")</f>
        <v>loan_amount</v>
      </c>
      <c r="B165" s="72" t="n">
        <f aca="false">IFERROR(__xludf.dummyfunction("""COMPUTED_VALUE"""),4289635)</f>
        <v>4289635</v>
      </c>
      <c r="C165" s="82" t="n">
        <f aca="false">IFERROR(__xludf.dummyfunction("""COMPUTED_VALUE"""),36298)</f>
        <v>36298</v>
      </c>
      <c r="D165" s="83" t="n">
        <f aca="false">IFERROR(__xludf.dummyfunction("""COMPUTED_VALUE"""),11947)</f>
        <v>11947</v>
      </c>
      <c r="E165" s="84" t="n">
        <f aca="false">IFERROR(__xludf.dummyfunction("""COMPUTED_VALUE"""),116536)</f>
        <v>116536</v>
      </c>
      <c r="F165" s="84" t="n">
        <f aca="false">IFERROR(__xludf.dummyfunction("""COMPUTED_VALUE"""),60835)</f>
        <v>60835</v>
      </c>
      <c r="G165" s="84" t="n">
        <f aca="false">IFERROR(__xludf.dummyfunction("""COMPUTED_VALUE"""),513997)</f>
        <v>513997</v>
      </c>
      <c r="H165" s="84" t="n">
        <f aca="false">IFERROR(__xludf.dummyfunction("""COMPUTED_VALUE"""),76908)</f>
        <v>76908</v>
      </c>
      <c r="I165" s="84" t="n">
        <f aca="false">IFERROR(__xludf.dummyfunction("""COMPUTED_VALUE"""),24119)</f>
        <v>24119</v>
      </c>
      <c r="J165" s="84" t="n">
        <f aca="false">IFERROR(__xludf.dummyfunction("""COMPUTED_VALUE"""),11829)</f>
        <v>11829</v>
      </c>
      <c r="K165" s="84" t="n">
        <f aca="false">IFERROR(__xludf.dummyfunction("""COMPUTED_VALUE"""),14350)</f>
        <v>14350</v>
      </c>
      <c r="L165" s="84" t="n">
        <f aca="false">IFERROR(__xludf.dummyfunction("""COMPUTED_VALUE"""),326998)</f>
        <v>326998</v>
      </c>
      <c r="M165" s="84" t="n">
        <f aca="false">IFERROR(__xludf.dummyfunction("""COMPUTED_VALUE"""),99984)</f>
        <v>99984</v>
      </c>
      <c r="N165" s="84" t="n">
        <f aca="false">IFERROR(__xludf.dummyfunction("""COMPUTED_VALUE"""),13205)</f>
        <v>13205</v>
      </c>
      <c r="O165" s="84" t="n">
        <f aca="false">IFERROR(__xludf.dummyfunction("""COMPUTED_VALUE"""),25550)</f>
        <v>25550</v>
      </c>
      <c r="P165" s="84" t="n">
        <f aca="false">IFERROR(__xludf.dummyfunction("""COMPUTED_VALUE"""),214803)</f>
        <v>214803</v>
      </c>
      <c r="Q165" s="84" t="n">
        <f aca="false">IFERROR(__xludf.dummyfunction("""COMPUTED_VALUE"""),92018)</f>
        <v>92018</v>
      </c>
      <c r="R165" s="84" t="n">
        <f aca="false">IFERROR(__xludf.dummyfunction("""COMPUTED_VALUE"""),64094)</f>
        <v>64094</v>
      </c>
      <c r="S165" s="84" t="n">
        <f aca="false">IFERROR(__xludf.dummyfunction("""COMPUTED_VALUE"""),23405)</f>
        <v>23405</v>
      </c>
      <c r="T165" s="84" t="n">
        <f aca="false">IFERROR(__xludf.dummyfunction("""COMPUTED_VALUE"""),31059)</f>
        <v>31059</v>
      </c>
      <c r="U165" s="84" t="n">
        <f aca="false">IFERROR(__xludf.dummyfunction("""COMPUTED_VALUE"""),33253)</f>
        <v>33253</v>
      </c>
      <c r="V165" s="84" t="n">
        <f aca="false">IFERROR(__xludf.dummyfunction("""COMPUTED_VALUE"""),6997)</f>
        <v>6997</v>
      </c>
      <c r="W165" s="84" t="n">
        <f aca="false">IFERROR(__xludf.dummyfunction("""COMPUTED_VALUE"""),57122)</f>
        <v>57122</v>
      </c>
      <c r="X165" s="84" t="n">
        <f aca="false">IFERROR(__xludf.dummyfunction("""COMPUTED_VALUE"""),54639)</f>
        <v>54639</v>
      </c>
      <c r="Y165" s="84" t="n">
        <f aca="false">IFERROR(__xludf.dummyfunction("""COMPUTED_VALUE"""),58022)</f>
        <v>58022</v>
      </c>
      <c r="Z165" s="84" t="n">
        <f aca="false">IFERROR(__xludf.dummyfunction("""COMPUTED_VALUE"""),60470)</f>
        <v>60470</v>
      </c>
      <c r="AA165" s="84" t="n">
        <f aca="false">IFERROR(__xludf.dummyfunction("""COMPUTED_VALUE"""),5839)</f>
        <v>5839</v>
      </c>
      <c r="AB165" s="84" t="n">
        <f aca="false">IFERROR(__xludf.dummyfunction("""COMPUTED_VALUE"""),66412)</f>
        <v>66412</v>
      </c>
      <c r="AC165" s="84" t="n">
        <f aca="false">IFERROR(__xludf.dummyfunction("""COMPUTED_VALUE"""),26626)</f>
        <v>26626</v>
      </c>
      <c r="AD165" s="84" t="n">
        <f aca="false">IFERROR(__xludf.dummyfunction("""COMPUTED_VALUE"""),21761)</f>
        <v>21761</v>
      </c>
      <c r="AE165" s="84" t="n">
        <f aca="false">IFERROR(__xludf.dummyfunction("""COMPUTED_VALUE"""),24703)</f>
        <v>24703</v>
      </c>
      <c r="AF165" s="84" t="n">
        <f aca="false">IFERROR(__xludf.dummyfunction("""COMPUTED_VALUE"""),10533)</f>
        <v>10533</v>
      </c>
      <c r="AG165" s="84" t="n">
        <f aca="false">IFERROR(__xludf.dummyfunction("""COMPUTED_VALUE"""),99846)</f>
        <v>99846</v>
      </c>
      <c r="AH165" s="84" t="n">
        <f aca="false">IFERROR(__xludf.dummyfunction("""COMPUTED_VALUE"""),23609)</f>
        <v>23609</v>
      </c>
      <c r="AI165" s="84" t="n">
        <f aca="false">IFERROR(__xludf.dummyfunction("""COMPUTED_VALUE"""),163673)</f>
        <v>163673</v>
      </c>
      <c r="AJ165" s="84" t="n">
        <f aca="false">IFERROR(__xludf.dummyfunction("""COMPUTED_VALUE"""),131503)</f>
        <v>131503</v>
      </c>
      <c r="AK165" s="84" t="n">
        <f aca="false">IFERROR(__xludf.dummyfunction("""COMPUTED_VALUE"""),45674)</f>
        <v>45674</v>
      </c>
      <c r="AL165" s="84" t="n">
        <f aca="false">IFERROR(__xludf.dummyfunction("""COMPUTED_VALUE"""),374338)</f>
        <v>374338</v>
      </c>
      <c r="AM165" s="84" t="n">
        <f aca="false">IFERROR(__xludf.dummyfunction("""COMPUTED_VALUE"""),61204)</f>
        <v>61204</v>
      </c>
      <c r="AN165" s="84" t="n">
        <f aca="false">IFERROR(__xludf.dummyfunction("""COMPUTED_VALUE"""),68955)</f>
        <v>68955</v>
      </c>
      <c r="AO165" s="84" t="n">
        <f aca="false">IFERROR(__xludf.dummyfunction("""COMPUTED_VALUE"""),203408)</f>
        <v>203408</v>
      </c>
      <c r="AP165" s="84" t="n">
        <f aca="false">IFERROR(__xludf.dummyfunction("""COMPUTED_VALUE"""),9121)</f>
        <v>9121</v>
      </c>
      <c r="AQ165" s="84" t="n">
        <f aca="false">IFERROR(__xludf.dummyfunction("""COMPUTED_VALUE"""),71553)</f>
        <v>71553</v>
      </c>
      <c r="AR165" s="84" t="n">
        <f aca="false">IFERROR(__xludf.dummyfunction("""COMPUTED_VALUE"""),1131)</f>
        <v>1131</v>
      </c>
      <c r="AS165" s="84" t="n">
        <f aca="false">IFERROR(__xludf.dummyfunction("""COMPUTED_VALUE"""),86479)</f>
        <v>86479</v>
      </c>
      <c r="AT165" s="84" t="n">
        <f aca="false">IFERROR(__xludf.dummyfunction("""COMPUTED_VALUE"""),400584)</f>
        <v>400584</v>
      </c>
      <c r="AU165" s="84" t="n">
        <f aca="false">IFERROR(__xludf.dummyfunction("""COMPUTED_VALUE"""),38492)</f>
        <v>38492</v>
      </c>
      <c r="AV165" s="84" t="n">
        <f aca="false">IFERROR(__xludf.dummyfunction("""COMPUTED_VALUE"""),0)</f>
        <v>0</v>
      </c>
      <c r="AW165" s="84" t="n">
        <f aca="false">IFERROR(__xludf.dummyfunction("""COMPUTED_VALUE"""),65181)</f>
        <v>65181</v>
      </c>
      <c r="AX165" s="84" t="n">
        <f aca="false">IFERROR(__xludf.dummyfunction("""COMPUTED_VALUE"""),119547)</f>
        <v>119547</v>
      </c>
      <c r="AY165" s="84" t="n">
        <f aca="false">IFERROR(__xludf.dummyfunction("""COMPUTED_VALUE"""),13433)</f>
        <v>13433</v>
      </c>
      <c r="AZ165" s="84" t="n">
        <f aca="false">IFERROR(__xludf.dummyfunction("""COMPUTED_VALUE"""),120426)</f>
        <v>120426</v>
      </c>
      <c r="BA165" s="84" t="n">
        <f aca="false">IFERROR(__xludf.dummyfunction("""COMPUTED_VALUE"""),7166)</f>
        <v>7166</v>
      </c>
    </row>
    <row r="166" customFormat="false" ht="15.75" hidden="false" customHeight="false" outlineLevel="0" collapsed="false">
      <c r="A166" s="78" t="str">
        <f aca="false">IFERROR(__xludf.dummyfunction("""COMPUTED_VALUE"""),"loan_type")</f>
        <v>loan_type</v>
      </c>
      <c r="B166" s="72" t="n">
        <f aca="false">IFERROR(__xludf.dummyfunction("""COMPUTED_VALUE"""),2165763)</f>
        <v>2165763</v>
      </c>
      <c r="C166" s="82" t="n">
        <f aca="false">IFERROR(__xludf.dummyfunction("""COMPUTED_VALUE"""),20778)</f>
        <v>20778</v>
      </c>
      <c r="D166" s="83" t="n">
        <f aca="false">IFERROR(__xludf.dummyfunction("""COMPUTED_VALUE"""),7846)</f>
        <v>7846</v>
      </c>
      <c r="E166" s="84" t="n">
        <f aca="false">IFERROR(__xludf.dummyfunction("""COMPUTED_VALUE"""),39701)</f>
        <v>39701</v>
      </c>
      <c r="F166" s="84" t="n">
        <f aca="false">IFERROR(__xludf.dummyfunction("""COMPUTED_VALUE"""),34323)</f>
        <v>34323</v>
      </c>
      <c r="G166" s="84" t="n">
        <f aca="false">IFERROR(__xludf.dummyfunction("""COMPUTED_VALUE"""),198599)</f>
        <v>198599</v>
      </c>
      <c r="H166" s="84" t="n">
        <f aca="false">IFERROR(__xludf.dummyfunction("""COMPUTED_VALUE"""),32646)</f>
        <v>32646</v>
      </c>
      <c r="I166" s="84" t="n">
        <f aca="false">IFERROR(__xludf.dummyfunction("""COMPUTED_VALUE"""),7852)</f>
        <v>7852</v>
      </c>
      <c r="J166" s="84" t="n">
        <f aca="false">IFERROR(__xludf.dummyfunction("""COMPUTED_VALUE"""),3916)</f>
        <v>3916</v>
      </c>
      <c r="K166" s="84" t="n">
        <f aca="false">IFERROR(__xludf.dummyfunction("""COMPUTED_VALUE"""),8158)</f>
        <v>8158</v>
      </c>
      <c r="L166" s="84" t="n">
        <f aca="false">IFERROR(__xludf.dummyfunction("""COMPUTED_VALUE"""),120483)</f>
        <v>120483</v>
      </c>
      <c r="M166" s="84" t="n">
        <f aca="false">IFERROR(__xludf.dummyfunction("""COMPUTED_VALUE"""),43879)</f>
        <v>43879</v>
      </c>
      <c r="N166" s="84" t="n">
        <f aca="false">IFERROR(__xludf.dummyfunction("""COMPUTED_VALUE"""),5495)</f>
        <v>5495</v>
      </c>
      <c r="O166" s="84" t="n">
        <f aca="false">IFERROR(__xludf.dummyfunction("""COMPUTED_VALUE"""),13641)</f>
        <v>13641</v>
      </c>
      <c r="P166" s="84" t="n">
        <f aca="false">IFERROR(__xludf.dummyfunction("""COMPUTED_VALUE"""),115227)</f>
        <v>115227</v>
      </c>
      <c r="Q166" s="84" t="n">
        <f aca="false">IFERROR(__xludf.dummyfunction("""COMPUTED_VALUE"""),56902)</f>
        <v>56902</v>
      </c>
      <c r="R166" s="84" t="n">
        <f aca="false">IFERROR(__xludf.dummyfunction("""COMPUTED_VALUE"""),44444)</f>
        <v>44444</v>
      </c>
      <c r="S166" s="84" t="n">
        <f aca="false">IFERROR(__xludf.dummyfunction("""COMPUTED_VALUE"""),10680)</f>
        <v>10680</v>
      </c>
      <c r="T166" s="84" t="n">
        <f aca="false">IFERROR(__xludf.dummyfunction("""COMPUTED_VALUE"""),19157)</f>
        <v>19157</v>
      </c>
      <c r="U166" s="84" t="n">
        <f aca="false">IFERROR(__xludf.dummyfunction("""COMPUTED_VALUE"""),17361)</f>
        <v>17361</v>
      </c>
      <c r="V166" s="84" t="n">
        <f aca="false">IFERROR(__xludf.dummyfunction("""COMPUTED_VALUE"""),3545)</f>
        <v>3545</v>
      </c>
      <c r="W166" s="84" t="n">
        <f aca="false">IFERROR(__xludf.dummyfunction("""COMPUTED_VALUE"""),24185)</f>
        <v>24185</v>
      </c>
      <c r="X166" s="84" t="n">
        <f aca="false">IFERROR(__xludf.dummyfunction("""COMPUTED_VALUE"""),18412)</f>
        <v>18412</v>
      </c>
      <c r="Y166" s="84" t="n">
        <f aca="false">IFERROR(__xludf.dummyfunction("""COMPUTED_VALUE"""),33645)</f>
        <v>33645</v>
      </c>
      <c r="Z166" s="84" t="n">
        <f aca="false">IFERROR(__xludf.dummyfunction("""COMPUTED_VALUE"""),35412)</f>
        <v>35412</v>
      </c>
      <c r="AA166" s="84" t="n">
        <f aca="false">IFERROR(__xludf.dummyfunction("""COMPUTED_VALUE"""),3170)</f>
        <v>3170</v>
      </c>
      <c r="AB166" s="84" t="n">
        <f aca="false">IFERROR(__xludf.dummyfunction("""COMPUTED_VALUE"""),31980)</f>
        <v>31980</v>
      </c>
      <c r="AC166" s="84" t="n">
        <f aca="false">IFERROR(__xludf.dummyfunction("""COMPUTED_VALUE"""),16164)</f>
        <v>16164</v>
      </c>
      <c r="AD166" s="84" t="n">
        <f aca="false">IFERROR(__xludf.dummyfunction("""COMPUTED_VALUE"""),12886)</f>
        <v>12886</v>
      </c>
      <c r="AE166" s="84" t="n">
        <f aca="false">IFERROR(__xludf.dummyfunction("""COMPUTED_VALUE"""),6881)</f>
        <v>6881</v>
      </c>
      <c r="AF166" s="84" t="n">
        <f aca="false">IFERROR(__xludf.dummyfunction("""COMPUTED_VALUE"""),4023)</f>
        <v>4023</v>
      </c>
      <c r="AG166" s="84" t="n">
        <f aca="false">IFERROR(__xludf.dummyfunction("""COMPUTED_VALUE"""),37739)</f>
        <v>37739</v>
      </c>
      <c r="AH166" s="84" t="n">
        <f aca="false">IFERROR(__xludf.dummyfunction("""COMPUTED_VALUE"""),11918)</f>
        <v>11918</v>
      </c>
      <c r="AI166" s="84" t="n">
        <f aca="false">IFERROR(__xludf.dummyfunction("""COMPUTED_VALUE"""),64849)</f>
        <v>64849</v>
      </c>
      <c r="AJ166" s="84" t="n">
        <f aca="false">IFERROR(__xludf.dummyfunction("""COMPUTED_VALUE"""),72635)</f>
        <v>72635</v>
      </c>
      <c r="AK166" s="84" t="n">
        <f aca="false">IFERROR(__xludf.dummyfunction("""COMPUTED_VALUE"""),34933)</f>
        <v>34933</v>
      </c>
      <c r="AL166" s="84" t="n">
        <f aca="false">IFERROR(__xludf.dummyfunction("""COMPUTED_VALUE"""),228535)</f>
        <v>228535</v>
      </c>
      <c r="AM166" s="84" t="n">
        <f aca="false">IFERROR(__xludf.dummyfunction("""COMPUTED_VALUE"""),34196)</f>
        <v>34196</v>
      </c>
      <c r="AN166" s="84" t="n">
        <f aca="false">IFERROR(__xludf.dummyfunction("""COMPUTED_VALUE"""),35419)</f>
        <v>35419</v>
      </c>
      <c r="AO166" s="84" t="n">
        <f aca="false">IFERROR(__xludf.dummyfunction("""COMPUTED_VALUE"""),137333)</f>
        <v>137333</v>
      </c>
      <c r="AP166" s="84" t="n">
        <f aca="false">IFERROR(__xludf.dummyfunction("""COMPUTED_VALUE"""),3913)</f>
        <v>3913</v>
      </c>
      <c r="AQ166" s="84" t="n">
        <f aca="false">IFERROR(__xludf.dummyfunction("""COMPUTED_VALUE"""),39772)</f>
        <v>39772</v>
      </c>
      <c r="AR166" s="84" t="n">
        <f aca="false">IFERROR(__xludf.dummyfunction("""COMPUTED_VALUE"""),841)</f>
        <v>841</v>
      </c>
      <c r="AS166" s="84" t="n">
        <f aca="false">IFERROR(__xludf.dummyfunction("""COMPUTED_VALUE"""),50764)</f>
        <v>50764</v>
      </c>
      <c r="AT166" s="84" t="n">
        <f aca="false">IFERROR(__xludf.dummyfunction("""COMPUTED_VALUE"""),221086)</f>
        <v>221086</v>
      </c>
      <c r="AU166" s="84" t="n">
        <f aca="false">IFERROR(__xludf.dummyfunction("""COMPUTED_VALUE"""),15704)</f>
        <v>15704</v>
      </c>
      <c r="AV166" s="84" t="n">
        <f aca="false">IFERROR(__xludf.dummyfunction("""COMPUTED_VALUE"""),0)</f>
        <v>0</v>
      </c>
      <c r="AW166" s="84" t="n">
        <f aca="false">IFERROR(__xludf.dummyfunction("""COMPUTED_VALUE"""),30744)</f>
        <v>30744</v>
      </c>
      <c r="AX166" s="84" t="n">
        <f aca="false">IFERROR(__xludf.dummyfunction("""COMPUTED_VALUE"""),58600)</f>
        <v>58600</v>
      </c>
      <c r="AY166" s="84" t="n">
        <f aca="false">IFERROR(__xludf.dummyfunction("""COMPUTED_VALUE"""),11119)</f>
        <v>11119</v>
      </c>
      <c r="AZ166" s="84" t="n">
        <f aca="false">IFERROR(__xludf.dummyfunction("""COMPUTED_VALUE"""),80631)</f>
        <v>80631</v>
      </c>
      <c r="BA166" s="84" t="n">
        <f aca="false">IFERROR(__xludf.dummyfunction("""COMPUTED_VALUE"""),3641)</f>
        <v>3641</v>
      </c>
    </row>
    <row r="167" customFormat="false" ht="15.75" hidden="false" customHeight="false" outlineLevel="0" collapsed="false">
      <c r="A167" s="78" t="str">
        <f aca="false">IFERROR(__xludf.dummyfunction("""COMPUTED_VALUE"""),"loan_due_date")</f>
        <v>loan_due_date</v>
      </c>
      <c r="B167" s="72" t="n">
        <f aca="false">IFERROR(__xludf.dummyfunction("""COMPUTED_VALUE"""),1533984)</f>
        <v>1533984</v>
      </c>
      <c r="C167" s="82" t="n">
        <f aca="false">IFERROR(__xludf.dummyfunction("""COMPUTED_VALUE"""),14200)</f>
        <v>14200</v>
      </c>
      <c r="D167" s="83" t="n">
        <f aca="false">IFERROR(__xludf.dummyfunction("""COMPUTED_VALUE"""),6678)</f>
        <v>6678</v>
      </c>
      <c r="E167" s="84" t="n">
        <f aca="false">IFERROR(__xludf.dummyfunction("""COMPUTED_VALUE"""),10578)</f>
        <v>10578</v>
      </c>
      <c r="F167" s="84" t="n">
        <f aca="false">IFERROR(__xludf.dummyfunction("""COMPUTED_VALUE"""),37782)</f>
        <v>37782</v>
      </c>
      <c r="G167" s="84" t="n">
        <f aca="false">IFERROR(__xludf.dummyfunction("""COMPUTED_VALUE"""),52667)</f>
        <v>52667</v>
      </c>
      <c r="H167" s="84" t="n">
        <f aca="false">IFERROR(__xludf.dummyfunction("""COMPUTED_VALUE"""),27095)</f>
        <v>27095</v>
      </c>
      <c r="I167" s="84" t="n">
        <f aca="false">IFERROR(__xludf.dummyfunction("""COMPUTED_VALUE"""),5604)</f>
        <v>5604</v>
      </c>
      <c r="J167" s="84" t="n">
        <f aca="false">IFERROR(__xludf.dummyfunction("""COMPUTED_VALUE"""),2192)</f>
        <v>2192</v>
      </c>
      <c r="K167" s="84" t="n">
        <f aca="false">IFERROR(__xludf.dummyfunction("""COMPUTED_VALUE"""),7285)</f>
        <v>7285</v>
      </c>
      <c r="L167" s="84" t="n">
        <f aca="false">IFERROR(__xludf.dummyfunction("""COMPUTED_VALUE"""),85852)</f>
        <v>85852</v>
      </c>
      <c r="M167" s="84" t="n">
        <f aca="false">IFERROR(__xludf.dummyfunction("""COMPUTED_VALUE"""),48431)</f>
        <v>48431</v>
      </c>
      <c r="N167" s="84" t="n">
        <f aca="false">IFERROR(__xludf.dummyfunction("""COMPUTED_VALUE"""),2030)</f>
        <v>2030</v>
      </c>
      <c r="O167" s="84" t="n">
        <f aca="false">IFERROR(__xludf.dummyfunction("""COMPUTED_VALUE"""),10540)</f>
        <v>10540</v>
      </c>
      <c r="P167" s="84" t="n">
        <f aca="false">IFERROR(__xludf.dummyfunction("""COMPUTED_VALUE"""),101078)</f>
        <v>101078</v>
      </c>
      <c r="Q167" s="84" t="n">
        <f aca="false">IFERROR(__xludf.dummyfunction("""COMPUTED_VALUE"""),56184)</f>
        <v>56184</v>
      </c>
      <c r="R167" s="84" t="n">
        <f aca="false">IFERROR(__xludf.dummyfunction("""COMPUTED_VALUE"""),32719)</f>
        <v>32719</v>
      </c>
      <c r="S167" s="84" t="n">
        <f aca="false">IFERROR(__xludf.dummyfunction("""COMPUTED_VALUE"""),5893)</f>
        <v>5893</v>
      </c>
      <c r="T167" s="84" t="n">
        <f aca="false">IFERROR(__xludf.dummyfunction("""COMPUTED_VALUE"""),19388)</f>
        <v>19388</v>
      </c>
      <c r="U167" s="84" t="n">
        <f aca="false">IFERROR(__xludf.dummyfunction("""COMPUTED_VALUE"""),8505)</f>
        <v>8505</v>
      </c>
      <c r="V167" s="84" t="n">
        <f aca="false">IFERROR(__xludf.dummyfunction("""COMPUTED_VALUE"""),2027)</f>
        <v>2027</v>
      </c>
      <c r="W167" s="84" t="n">
        <f aca="false">IFERROR(__xludf.dummyfunction("""COMPUTED_VALUE"""),15659)</f>
        <v>15659</v>
      </c>
      <c r="X167" s="84" t="n">
        <f aca="false">IFERROR(__xludf.dummyfunction("""COMPUTED_VALUE"""),5108)</f>
        <v>5108</v>
      </c>
      <c r="Y167" s="84" t="n">
        <f aca="false">IFERROR(__xludf.dummyfunction("""COMPUTED_VALUE"""),20960)</f>
        <v>20960</v>
      </c>
      <c r="Z167" s="84" t="n">
        <f aca="false">IFERROR(__xludf.dummyfunction("""COMPUTED_VALUE"""),35631)</f>
        <v>35631</v>
      </c>
      <c r="AA167" s="84" t="n">
        <f aca="false">IFERROR(__xludf.dummyfunction("""COMPUTED_VALUE"""),3723)</f>
        <v>3723</v>
      </c>
      <c r="AB167" s="84" t="n">
        <f aca="false">IFERROR(__xludf.dummyfunction("""COMPUTED_VALUE"""),19338)</f>
        <v>19338</v>
      </c>
      <c r="AC167" s="84" t="n">
        <f aca="false">IFERROR(__xludf.dummyfunction("""COMPUTED_VALUE"""),13186)</f>
        <v>13186</v>
      </c>
      <c r="AD167" s="84" t="n">
        <f aca="false">IFERROR(__xludf.dummyfunction("""COMPUTED_VALUE"""),6841)</f>
        <v>6841</v>
      </c>
      <c r="AE167" s="84" t="n">
        <f aca="false">IFERROR(__xludf.dummyfunction("""COMPUTED_VALUE"""),1485)</f>
        <v>1485</v>
      </c>
      <c r="AF167" s="84" t="n">
        <f aca="false">IFERROR(__xludf.dummyfunction("""COMPUTED_VALUE"""),2341)</f>
        <v>2341</v>
      </c>
      <c r="AG167" s="84" t="n">
        <f aca="false">IFERROR(__xludf.dummyfunction("""COMPUTED_VALUE"""),22011)</f>
        <v>22011</v>
      </c>
      <c r="AH167" s="84" t="n">
        <f aca="false">IFERROR(__xludf.dummyfunction("""COMPUTED_VALUE"""),9048)</f>
        <v>9048</v>
      </c>
      <c r="AI167" s="84" t="n">
        <f aca="false">IFERROR(__xludf.dummyfunction("""COMPUTED_VALUE"""),44338)</f>
        <v>44338</v>
      </c>
      <c r="AJ167" s="84" t="n">
        <f aca="false">IFERROR(__xludf.dummyfunction("""COMPUTED_VALUE"""),57448)</f>
        <v>57448</v>
      </c>
      <c r="AK167" s="84" t="n">
        <f aca="false">IFERROR(__xludf.dummyfunction("""COMPUTED_VALUE"""),37333)</f>
        <v>37333</v>
      </c>
      <c r="AL167" s="84" t="n">
        <f aca="false">IFERROR(__xludf.dummyfunction("""COMPUTED_VALUE"""),185289)</f>
        <v>185289</v>
      </c>
      <c r="AM167" s="84" t="n">
        <f aca="false">IFERROR(__xludf.dummyfunction("""COMPUTED_VALUE"""),30458)</f>
        <v>30458</v>
      </c>
      <c r="AN167" s="84" t="n">
        <f aca="false">IFERROR(__xludf.dummyfunction("""COMPUTED_VALUE"""),34315)</f>
        <v>34315</v>
      </c>
      <c r="AO167" s="84" t="n">
        <f aca="false">IFERROR(__xludf.dummyfunction("""COMPUTED_VALUE"""),78913)</f>
        <v>78913</v>
      </c>
      <c r="AP167" s="84" t="n">
        <f aca="false">IFERROR(__xludf.dummyfunction("""COMPUTED_VALUE"""),1576)</f>
        <v>1576</v>
      </c>
      <c r="AQ167" s="84" t="n">
        <f aca="false">IFERROR(__xludf.dummyfunction("""COMPUTED_VALUE"""),32594)</f>
        <v>32594</v>
      </c>
      <c r="AR167" s="84" t="n">
        <f aca="false">IFERROR(__xludf.dummyfunction("""COMPUTED_VALUE"""),569)</f>
        <v>569</v>
      </c>
      <c r="AS167" s="84" t="n">
        <f aca="false">IFERROR(__xludf.dummyfunction("""COMPUTED_VALUE"""),44683)</f>
        <v>44683</v>
      </c>
      <c r="AT167" s="84" t="n">
        <f aca="false">IFERROR(__xludf.dummyfunction("""COMPUTED_VALUE"""),182925)</f>
        <v>182925</v>
      </c>
      <c r="AU167" s="84" t="n">
        <f aca="false">IFERROR(__xludf.dummyfunction("""COMPUTED_VALUE"""),6476)</f>
        <v>6476</v>
      </c>
      <c r="AV167" s="84" t="n">
        <f aca="false">IFERROR(__xludf.dummyfunction("""COMPUTED_VALUE"""),0)</f>
        <v>0</v>
      </c>
      <c r="AW167" s="84" t="n">
        <f aca="false">IFERROR(__xludf.dummyfunction("""COMPUTED_VALUE"""),17811)</f>
        <v>17811</v>
      </c>
      <c r="AX167" s="84" t="n">
        <f aca="false">IFERROR(__xludf.dummyfunction("""COMPUTED_VALUE"""),36991)</f>
        <v>36991</v>
      </c>
      <c r="AY167" s="84" t="n">
        <f aca="false">IFERROR(__xludf.dummyfunction("""COMPUTED_VALUE"""),8285)</f>
        <v>8285</v>
      </c>
      <c r="AZ167" s="84" t="n">
        <f aca="false">IFERROR(__xludf.dummyfunction("""COMPUTED_VALUE"""),39295)</f>
        <v>39295</v>
      </c>
      <c r="BA167" s="84" t="n">
        <f aca="false">IFERROR(__xludf.dummyfunction("""COMPUTED_VALUE"""),2626)</f>
        <v>2626</v>
      </c>
    </row>
    <row r="168" customFormat="false" ht="15.75" hidden="false" customHeight="false" outlineLevel="0" collapsed="false">
      <c r="A168" s="78" t="str">
        <f aca="false">IFERROR(__xludf.dummyfunction("""COMPUTED_VALUE"""),"loan_finance_type")</f>
        <v>loan_finance_type</v>
      </c>
      <c r="B168" s="72" t="n">
        <f aca="false">IFERROR(__xludf.dummyfunction("""COMPUTED_VALUE"""),546589)</f>
        <v>546589</v>
      </c>
      <c r="C168" s="82" t="n">
        <f aca="false">IFERROR(__xludf.dummyfunction("""COMPUTED_VALUE"""),3013)</f>
        <v>3013</v>
      </c>
      <c r="D168" s="83" t="n">
        <f aca="false">IFERROR(__xludf.dummyfunction("""COMPUTED_VALUE"""),2206)</f>
        <v>2206</v>
      </c>
      <c r="E168" s="84" t="n">
        <f aca="false">IFERROR(__xludf.dummyfunction("""COMPUTED_VALUE"""),12433)</f>
        <v>12433</v>
      </c>
      <c r="F168" s="84" t="n">
        <f aca="false">IFERROR(__xludf.dummyfunction("""COMPUTED_VALUE"""),3381)</f>
        <v>3381</v>
      </c>
      <c r="G168" s="84" t="n">
        <f aca="false">IFERROR(__xludf.dummyfunction("""COMPUTED_VALUE"""),85733)</f>
        <v>85733</v>
      </c>
      <c r="H168" s="84" t="n">
        <f aca="false">IFERROR(__xludf.dummyfunction("""COMPUTED_VALUE"""),8624)</f>
        <v>8624</v>
      </c>
      <c r="I168" s="84" t="n">
        <f aca="false">IFERROR(__xludf.dummyfunction("""COMPUTED_VALUE"""),1263)</f>
        <v>1263</v>
      </c>
      <c r="J168" s="84" t="n">
        <f aca="false">IFERROR(__xludf.dummyfunction("""COMPUTED_VALUE"""),837)</f>
        <v>837</v>
      </c>
      <c r="K168" s="84" t="n">
        <f aca="false">IFERROR(__xludf.dummyfunction("""COMPUTED_VALUE"""),2178)</f>
        <v>2178</v>
      </c>
      <c r="L168" s="84" t="n">
        <f aca="false">IFERROR(__xludf.dummyfunction("""COMPUTED_VALUE"""),51142)</f>
        <v>51142</v>
      </c>
      <c r="M168" s="84" t="n">
        <f aca="false">IFERROR(__xludf.dummyfunction("""COMPUTED_VALUE"""),4102)</f>
        <v>4102</v>
      </c>
      <c r="N168" s="84" t="n">
        <f aca="false">IFERROR(__xludf.dummyfunction("""COMPUTED_VALUE"""),1322)</f>
        <v>1322</v>
      </c>
      <c r="O168" s="84" t="n">
        <f aca="false">IFERROR(__xludf.dummyfunction("""COMPUTED_VALUE"""),3309)</f>
        <v>3309</v>
      </c>
      <c r="P168" s="84" t="n">
        <f aca="false">IFERROR(__xludf.dummyfunction("""COMPUTED_VALUE"""),39495)</f>
        <v>39495</v>
      </c>
      <c r="Q168" s="84" t="n">
        <f aca="false">IFERROR(__xludf.dummyfunction("""COMPUTED_VALUE"""),11774)</f>
        <v>11774</v>
      </c>
      <c r="R168" s="84" t="n">
        <f aca="false">IFERROR(__xludf.dummyfunction("""COMPUTED_VALUE"""),5158)</f>
        <v>5158</v>
      </c>
      <c r="S168" s="84" t="n">
        <f aca="false">IFERROR(__xludf.dummyfunction("""COMPUTED_VALUE"""),1863)</f>
        <v>1863</v>
      </c>
      <c r="T168" s="84" t="n">
        <f aca="false">IFERROR(__xludf.dummyfunction("""COMPUTED_VALUE"""),4402)</f>
        <v>4402</v>
      </c>
      <c r="U168" s="84" t="n">
        <f aca="false">IFERROR(__xludf.dummyfunction("""COMPUTED_VALUE"""),953)</f>
        <v>953</v>
      </c>
      <c r="V168" s="84" t="n">
        <f aca="false">IFERROR(__xludf.dummyfunction("""COMPUTED_VALUE"""),811)</f>
        <v>811</v>
      </c>
      <c r="W168" s="84" t="n">
        <f aca="false">IFERROR(__xludf.dummyfunction("""COMPUTED_VALUE"""),3395)</f>
        <v>3395</v>
      </c>
      <c r="X168" s="84" t="n">
        <f aca="false">IFERROR(__xludf.dummyfunction("""COMPUTED_VALUE"""),497)</f>
        <v>497</v>
      </c>
      <c r="Y168" s="84" t="n">
        <f aca="false">IFERROR(__xludf.dummyfunction("""COMPUTED_VALUE"""),5623)</f>
        <v>5623</v>
      </c>
      <c r="Z168" s="84" t="n">
        <f aca="false">IFERROR(__xludf.dummyfunction("""COMPUTED_VALUE"""),5288)</f>
        <v>5288</v>
      </c>
      <c r="AA168" s="84" t="n">
        <f aca="false">IFERROR(__xludf.dummyfunction("""COMPUTED_VALUE"""),481)</f>
        <v>481</v>
      </c>
      <c r="AB168" s="84" t="n">
        <f aca="false">IFERROR(__xludf.dummyfunction("""COMPUTED_VALUE"""),6567)</f>
        <v>6567</v>
      </c>
      <c r="AC168" s="84" t="n">
        <f aca="false">IFERROR(__xludf.dummyfunction("""COMPUTED_VALUE"""),6008)</f>
        <v>6008</v>
      </c>
      <c r="AD168" s="84" t="n">
        <f aca="false">IFERROR(__xludf.dummyfunction("""COMPUTED_VALUE"""),1845)</f>
        <v>1845</v>
      </c>
      <c r="AE168" s="84" t="n">
        <f aca="false">IFERROR(__xludf.dummyfunction("""COMPUTED_VALUE"""),2448)</f>
        <v>2448</v>
      </c>
      <c r="AF168" s="84" t="n">
        <f aca="false">IFERROR(__xludf.dummyfunction("""COMPUTED_VALUE"""),1018)</f>
        <v>1018</v>
      </c>
      <c r="AG168" s="84" t="n">
        <f aca="false">IFERROR(__xludf.dummyfunction("""COMPUTED_VALUE"""),13863)</f>
        <v>13863</v>
      </c>
      <c r="AH168" s="84" t="n">
        <f aca="false">IFERROR(__xludf.dummyfunction("""COMPUTED_VALUE"""),2268)</f>
        <v>2268</v>
      </c>
      <c r="AI168" s="84" t="n">
        <f aca="false">IFERROR(__xludf.dummyfunction("""COMPUTED_VALUE"""),14993)</f>
        <v>14993</v>
      </c>
      <c r="AJ168" s="84" t="n">
        <f aca="false">IFERROR(__xludf.dummyfunction("""COMPUTED_VALUE"""),15577)</f>
        <v>15577</v>
      </c>
      <c r="AK168" s="84" t="n">
        <f aca="false">IFERROR(__xludf.dummyfunction("""COMPUTED_VALUE"""),7132)</f>
        <v>7132</v>
      </c>
      <c r="AL168" s="84" t="n">
        <f aca="false">IFERROR(__xludf.dummyfunction("""COMPUTED_VALUE"""),67643)</f>
        <v>67643</v>
      </c>
      <c r="AM168" s="84" t="n">
        <f aca="false">IFERROR(__xludf.dummyfunction("""COMPUTED_VALUE"""),6592)</f>
        <v>6592</v>
      </c>
      <c r="AN168" s="84" t="n">
        <f aca="false">IFERROR(__xludf.dummyfunction("""COMPUTED_VALUE"""),7503)</f>
        <v>7503</v>
      </c>
      <c r="AO168" s="84" t="n">
        <f aca="false">IFERROR(__xludf.dummyfunction("""COMPUTED_VALUE"""),46141)</f>
        <v>46141</v>
      </c>
      <c r="AP168" s="84" t="n">
        <f aca="false">IFERROR(__xludf.dummyfunction("""COMPUTED_VALUE"""),313)</f>
        <v>313</v>
      </c>
      <c r="AQ168" s="84" t="n">
        <f aca="false">IFERROR(__xludf.dummyfunction("""COMPUTED_VALUE"""),6763)</f>
        <v>6763</v>
      </c>
      <c r="AR168" s="84" t="n">
        <f aca="false">IFERROR(__xludf.dummyfunction("""COMPUTED_VALUE"""),63)</f>
        <v>63</v>
      </c>
      <c r="AS168" s="84" t="n">
        <f aca="false">IFERROR(__xludf.dummyfunction("""COMPUTED_VALUE"""),8874)</f>
        <v>8874</v>
      </c>
      <c r="AT168" s="84" t="n">
        <f aca="false">IFERROR(__xludf.dummyfunction("""COMPUTED_VALUE"""),31862)</f>
        <v>31862</v>
      </c>
      <c r="AU168" s="84" t="n">
        <f aca="false">IFERROR(__xludf.dummyfunction("""COMPUTED_VALUE"""),3826)</f>
        <v>3826</v>
      </c>
      <c r="AV168" s="84" t="n">
        <f aca="false">IFERROR(__xludf.dummyfunction("""COMPUTED_VALUE"""),0)</f>
        <v>0</v>
      </c>
      <c r="AW168" s="84" t="n">
        <f aca="false">IFERROR(__xludf.dummyfunction("""COMPUTED_VALUE"""),7284)</f>
        <v>7284</v>
      </c>
      <c r="AX168" s="84" t="n">
        <f aca="false">IFERROR(__xludf.dummyfunction("""COMPUTED_VALUE"""),16172)</f>
        <v>16172</v>
      </c>
      <c r="AY168" s="84" t="n">
        <f aca="false">IFERROR(__xludf.dummyfunction("""COMPUTED_VALUE"""),1732)</f>
        <v>1732</v>
      </c>
      <c r="AZ168" s="84" t="n">
        <f aca="false">IFERROR(__xludf.dummyfunction("""COMPUTED_VALUE"""),9903)</f>
        <v>9903</v>
      </c>
      <c r="BA168" s="84" t="n">
        <f aca="false">IFERROR(__xludf.dummyfunction("""COMPUTED_VALUE"""),916)</f>
        <v>916</v>
      </c>
    </row>
    <row r="169" customFormat="false" ht="15.75" hidden="false" customHeight="false" outlineLevel="0" collapsed="false">
      <c r="A169" s="78" t="str">
        <f aca="false">IFERROR(__xludf.dummyfunction("""COMPUTED_VALUE"""),"loan_interest_rate")</f>
        <v>loan_interest_rate</v>
      </c>
      <c r="B169" s="72" t="n">
        <f aca="false">IFERROR(__xludf.dummyfunction("""COMPUTED_VALUE"""),256742)</f>
        <v>256742</v>
      </c>
      <c r="C169" s="82" t="n">
        <f aca="false">IFERROR(__xludf.dummyfunction("""COMPUTED_VALUE"""),1191)</f>
        <v>1191</v>
      </c>
      <c r="D169" s="83" t="n">
        <f aca="false">IFERROR(__xludf.dummyfunction("""COMPUTED_VALUE"""),411)</f>
        <v>411</v>
      </c>
      <c r="E169" s="84" t="n">
        <f aca="false">IFERROR(__xludf.dummyfunction("""COMPUTED_VALUE"""),2168)</f>
        <v>2168</v>
      </c>
      <c r="F169" s="84" t="n">
        <f aca="false">IFERROR(__xludf.dummyfunction("""COMPUTED_VALUE"""),2759)</f>
        <v>2759</v>
      </c>
      <c r="G169" s="84" t="n">
        <f aca="false">IFERROR(__xludf.dummyfunction("""COMPUTED_VALUE"""),10467)</f>
        <v>10467</v>
      </c>
      <c r="H169" s="84" t="n">
        <f aca="false">IFERROR(__xludf.dummyfunction("""COMPUTED_VALUE"""),7121)</f>
        <v>7121</v>
      </c>
      <c r="I169" s="84" t="n">
        <f aca="false">IFERROR(__xludf.dummyfunction("""COMPUTED_VALUE"""),1258)</f>
        <v>1258</v>
      </c>
      <c r="J169" s="84" t="n">
        <f aca="false">IFERROR(__xludf.dummyfunction("""COMPUTED_VALUE"""),282)</f>
        <v>282</v>
      </c>
      <c r="K169" s="84" t="n">
        <f aca="false">IFERROR(__xludf.dummyfunction("""COMPUTED_VALUE"""),1068)</f>
        <v>1068</v>
      </c>
      <c r="L169" s="84" t="n">
        <f aca="false">IFERROR(__xludf.dummyfunction("""COMPUTED_VALUE"""),36317)</f>
        <v>36317</v>
      </c>
      <c r="M169" s="84" t="n">
        <f aca="false">IFERROR(__xludf.dummyfunction("""COMPUTED_VALUE"""),2019)</f>
        <v>2019</v>
      </c>
      <c r="N169" s="84" t="n">
        <f aca="false">IFERROR(__xludf.dummyfunction("""COMPUTED_VALUE"""),508)</f>
        <v>508</v>
      </c>
      <c r="O169" s="84" t="n">
        <f aca="false">IFERROR(__xludf.dummyfunction("""COMPUTED_VALUE"""),937)</f>
        <v>937</v>
      </c>
      <c r="P169" s="84" t="n">
        <f aca="false">IFERROR(__xludf.dummyfunction("""COMPUTED_VALUE"""),46659)</f>
        <v>46659</v>
      </c>
      <c r="Q169" s="84" t="n">
        <f aca="false">IFERROR(__xludf.dummyfunction("""COMPUTED_VALUE"""),4502)</f>
        <v>4502</v>
      </c>
      <c r="R169" s="84" t="n">
        <f aca="false">IFERROR(__xludf.dummyfunction("""COMPUTED_VALUE"""),3440)</f>
        <v>3440</v>
      </c>
      <c r="S169" s="84" t="n">
        <f aca="false">IFERROR(__xludf.dummyfunction("""COMPUTED_VALUE"""),414)</f>
        <v>414</v>
      </c>
      <c r="T169" s="84" t="n">
        <f aca="false">IFERROR(__xludf.dummyfunction("""COMPUTED_VALUE"""),878)</f>
        <v>878</v>
      </c>
      <c r="U169" s="84" t="n">
        <f aca="false">IFERROR(__xludf.dummyfunction("""COMPUTED_VALUE"""),2253)</f>
        <v>2253</v>
      </c>
      <c r="V169" s="84" t="n">
        <f aca="false">IFERROR(__xludf.dummyfunction("""COMPUTED_VALUE"""),271)</f>
        <v>271</v>
      </c>
      <c r="W169" s="84" t="n">
        <f aca="false">IFERROR(__xludf.dummyfunction("""COMPUTED_VALUE"""),2979)</f>
        <v>2979</v>
      </c>
      <c r="X169" s="84" t="n">
        <f aca="false">IFERROR(__xludf.dummyfunction("""COMPUTED_VALUE"""),496)</f>
        <v>496</v>
      </c>
      <c r="Y169" s="84" t="n">
        <f aca="false">IFERROR(__xludf.dummyfunction("""COMPUTED_VALUE"""),3241)</f>
        <v>3241</v>
      </c>
      <c r="Z169" s="84" t="n">
        <f aca="false">IFERROR(__xludf.dummyfunction("""COMPUTED_VALUE"""),5313)</f>
        <v>5313</v>
      </c>
      <c r="AA169" s="84" t="n">
        <f aca="false">IFERROR(__xludf.dummyfunction("""COMPUTED_VALUE"""),110)</f>
        <v>110</v>
      </c>
      <c r="AB169" s="84" t="n">
        <f aca="false">IFERROR(__xludf.dummyfunction("""COMPUTED_VALUE"""),2492)</f>
        <v>2492</v>
      </c>
      <c r="AC169" s="84" t="n">
        <f aca="false">IFERROR(__xludf.dummyfunction("""COMPUTED_VALUE"""),1601)</f>
        <v>1601</v>
      </c>
      <c r="AD169" s="84" t="n">
        <f aca="false">IFERROR(__xludf.dummyfunction("""COMPUTED_VALUE"""),973)</f>
        <v>973</v>
      </c>
      <c r="AE169" s="84" t="n">
        <f aca="false">IFERROR(__xludf.dummyfunction("""COMPUTED_VALUE"""),637)</f>
        <v>637</v>
      </c>
      <c r="AF169" s="84" t="n">
        <f aca="false">IFERROR(__xludf.dummyfunction("""COMPUTED_VALUE"""),451)</f>
        <v>451</v>
      </c>
      <c r="AG169" s="84" t="n">
        <f aca="false">IFERROR(__xludf.dummyfunction("""COMPUTED_VALUE"""),5166)</f>
        <v>5166</v>
      </c>
      <c r="AH169" s="84" t="n">
        <f aca="false">IFERROR(__xludf.dummyfunction("""COMPUTED_VALUE"""),3239)</f>
        <v>3239</v>
      </c>
      <c r="AI169" s="84" t="n">
        <f aca="false">IFERROR(__xludf.dummyfunction("""COMPUTED_VALUE"""),9782)</f>
        <v>9782</v>
      </c>
      <c r="AJ169" s="84" t="n">
        <f aca="false">IFERROR(__xludf.dummyfunction("""COMPUTED_VALUE"""),4994)</f>
        <v>4994</v>
      </c>
      <c r="AK169" s="84" t="n">
        <f aca="false">IFERROR(__xludf.dummyfunction("""COMPUTED_VALUE"""),7263)</f>
        <v>7263</v>
      </c>
      <c r="AL169" s="84" t="n">
        <f aca="false">IFERROR(__xludf.dummyfunction("""COMPUTED_VALUE"""),18227)</f>
        <v>18227</v>
      </c>
      <c r="AM169" s="84" t="n">
        <f aca="false">IFERROR(__xludf.dummyfunction("""COMPUTED_VALUE"""),3659)</f>
        <v>3659</v>
      </c>
      <c r="AN169" s="84" t="n">
        <f aca="false">IFERROR(__xludf.dummyfunction("""COMPUTED_VALUE"""),2203)</f>
        <v>2203</v>
      </c>
      <c r="AO169" s="84" t="n">
        <f aca="false">IFERROR(__xludf.dummyfunction("""COMPUTED_VALUE"""),6921)</f>
        <v>6921</v>
      </c>
      <c r="AP169" s="84" t="n">
        <f aca="false">IFERROR(__xludf.dummyfunction("""COMPUTED_VALUE"""),71)</f>
        <v>71</v>
      </c>
      <c r="AQ169" s="84" t="n">
        <f aca="false">IFERROR(__xludf.dummyfunction("""COMPUTED_VALUE"""),3594)</f>
        <v>3594</v>
      </c>
      <c r="AR169" s="84" t="n">
        <f aca="false">IFERROR(__xludf.dummyfunction("""COMPUTED_VALUE"""),37)</f>
        <v>37</v>
      </c>
      <c r="AS169" s="84" t="n">
        <f aca="false">IFERROR(__xludf.dummyfunction("""COMPUTED_VALUE"""),2917)</f>
        <v>2917</v>
      </c>
      <c r="AT169" s="84" t="n">
        <f aca="false">IFERROR(__xludf.dummyfunction("""COMPUTED_VALUE"""),23493)</f>
        <v>23493</v>
      </c>
      <c r="AU169" s="84" t="n">
        <f aca="false">IFERROR(__xludf.dummyfunction("""COMPUTED_VALUE"""),1048)</f>
        <v>1048</v>
      </c>
      <c r="AV169" s="84" t="n">
        <f aca="false">IFERROR(__xludf.dummyfunction("""COMPUTED_VALUE"""),0)</f>
        <v>0</v>
      </c>
      <c r="AW169" s="84" t="n">
        <f aca="false">IFERROR(__xludf.dummyfunction("""COMPUTED_VALUE"""),5310)</f>
        <v>5310</v>
      </c>
      <c r="AX169" s="84" t="n">
        <f aca="false">IFERROR(__xludf.dummyfunction("""COMPUTED_VALUE"""),5802)</f>
        <v>5802</v>
      </c>
      <c r="AY169" s="84" t="n">
        <f aca="false">IFERROR(__xludf.dummyfunction("""COMPUTED_VALUE"""),1154)</f>
        <v>1154</v>
      </c>
      <c r="AZ169" s="84" t="n">
        <f aca="false">IFERROR(__xludf.dummyfunction("""COMPUTED_VALUE"""),8383)</f>
        <v>8383</v>
      </c>
      <c r="BA169" s="84" t="n">
        <f aca="false">IFERROR(__xludf.dummyfunction("""COMPUTED_VALUE"""),263)</f>
        <v>263</v>
      </c>
    </row>
    <row r="170" customFormat="false" ht="15.75" hidden="false" customHeight="false" outlineLevel="0" collapsed="false">
      <c r="B170" s="59"/>
      <c r="C170" s="79"/>
      <c r="D170" s="80"/>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row>
    <row r="171" customFormat="false" ht="15.75" hidden="false" customHeight="false" outlineLevel="0" collapsed="false">
      <c r="A171" s="74" t="s">
        <v>1821</v>
      </c>
      <c r="B171" s="63"/>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row>
    <row r="172" customFormat="false" ht="15.75" hidden="false" customHeight="false" outlineLevel="0" collapsed="false">
      <c r="A172" s="75" t="str">
        <f aca="false">IFERROR(__xludf.dummyfunction("TRANSPOSE(IMPORTRANGE(""https://docs.google.com/spreadsheets/d/1GKhz9pSyUWFf4Xrp7ACbjr4UA3dMq6VxKG1OCLWM9yA"", ""'Boundaries'!F4:F56""))"),"wkt")</f>
        <v>wkt</v>
      </c>
      <c r="B172" s="56" t="n">
        <f aca="false">IFERROR(__xludf.dummyfunction("""COMPUTED_VALUE"""),6699586)</f>
        <v>6699586</v>
      </c>
      <c r="C172" s="76" t="n">
        <f aca="false">IFERROR(__xludf.dummyfunction("""COMPUTED_VALUE"""),108244)</f>
        <v>108244</v>
      </c>
      <c r="D172" s="77" t="n">
        <f aca="false">IFERROR(__xludf.dummyfunction("""COMPUTED_VALUE"""),24857)</f>
        <v>24857</v>
      </c>
      <c r="E172" s="77" t="n">
        <f aca="false">IFERROR(__xludf.dummyfunction("""COMPUTED_VALUE"""),170909)</f>
        <v>170909</v>
      </c>
      <c r="F172" s="77" t="n">
        <f aca="false">IFERROR(__xludf.dummyfunction("""COMPUTED_VALUE"""),75386)</f>
        <v>75386</v>
      </c>
      <c r="G172" s="77" t="n">
        <f aca="false">IFERROR(__xludf.dummyfunction("""COMPUTED_VALUE"""),696305)</f>
        <v>696305</v>
      </c>
      <c r="H172" s="77" t="n">
        <f aca="false">IFERROR(__xludf.dummyfunction("""COMPUTED_VALUE"""),112054)</f>
        <v>112054</v>
      </c>
      <c r="I172" s="77" t="n">
        <f aca="false">IFERROR(__xludf.dummyfunction("""COMPUTED_VALUE"""),52607)</f>
        <v>52607</v>
      </c>
      <c r="J172" s="77" t="n">
        <f aca="false">IFERROR(__xludf.dummyfunction("""COMPUTED_VALUE"""),12253)</f>
        <v>12253</v>
      </c>
      <c r="K172" s="77" t="n">
        <f aca="false">IFERROR(__xludf.dummyfunction("""COMPUTED_VALUE"""),5)</f>
        <v>5</v>
      </c>
      <c r="L172" s="77" t="n">
        <f aca="false">IFERROR(__xludf.dummyfunction("""COMPUTED_VALUE"""),660993)</f>
        <v>660993</v>
      </c>
      <c r="M172" s="77" t="n">
        <f aca="false">IFERROR(__xludf.dummyfunction("""COMPUTED_VALUE"""),116078)</f>
        <v>116078</v>
      </c>
      <c r="N172" s="77" t="n">
        <f aca="false">IFERROR(__xludf.dummyfunction("""COMPUTED_VALUE"""),13710)</f>
        <v>13710</v>
      </c>
      <c r="O172" s="77" t="n">
        <f aca="false">IFERROR(__xludf.dummyfunction("""COMPUTED_VALUE"""),28247)</f>
        <v>28247</v>
      </c>
      <c r="P172" s="77" t="n">
        <f aca="false">IFERROR(__xludf.dummyfunction("""COMPUTED_VALUE"""),242257)</f>
        <v>242257</v>
      </c>
      <c r="Q172" s="77" t="n">
        <f aca="false">IFERROR(__xludf.dummyfunction("""COMPUTED_VALUE"""),121207)</f>
        <v>121207</v>
      </c>
      <c r="R172" s="77" t="n">
        <f aca="false">IFERROR(__xludf.dummyfunction("""COMPUTED_VALUE"""),79552)</f>
        <v>79552</v>
      </c>
      <c r="S172" s="77" t="n">
        <f aca="false">IFERROR(__xludf.dummyfunction("""COMPUTED_VALUE"""),96366)</f>
        <v>96366</v>
      </c>
      <c r="T172" s="77" t="n">
        <f aca="false">IFERROR(__xludf.dummyfunction("""COMPUTED_VALUE"""),46773)</f>
        <v>46773</v>
      </c>
      <c r="U172" s="77" t="n">
        <f aca="false">IFERROR(__xludf.dummyfunction("""COMPUTED_VALUE"""),136205)</f>
        <v>136205</v>
      </c>
      <c r="V172" s="77" t="n">
        <f aca="false">IFERROR(__xludf.dummyfunction("""COMPUTED_VALUE"""),19040)</f>
        <v>19040</v>
      </c>
      <c r="W172" s="77" t="n">
        <f aca="false">IFERROR(__xludf.dummyfunction("""COMPUTED_VALUE"""),78638)</f>
        <v>78638</v>
      </c>
      <c r="X172" s="77" t="n">
        <f aca="false">IFERROR(__xludf.dummyfunction("""COMPUTED_VALUE"""),153706)</f>
        <v>153706</v>
      </c>
      <c r="Y172" s="77" t="n">
        <f aca="false">IFERROR(__xludf.dummyfunction("""COMPUTED_VALUE"""),106555)</f>
        <v>106555</v>
      </c>
      <c r="Z172" s="77" t="n">
        <f aca="false">IFERROR(__xludf.dummyfunction("""COMPUTED_VALUE"""),94086)</f>
        <v>94086</v>
      </c>
      <c r="AA172" s="77" t="n">
        <f aca="false">IFERROR(__xludf.dummyfunction("""COMPUTED_VALUE"""),49135)</f>
        <v>49135</v>
      </c>
      <c r="AB172" s="77" t="n">
        <f aca="false">IFERROR(__xludf.dummyfunction("""COMPUTED_VALUE"""),120398)</f>
        <v>120398</v>
      </c>
      <c r="AC172" s="77" t="n">
        <f aca="false">IFERROR(__xludf.dummyfunction("""COMPUTED_VALUE"""),8647)</f>
        <v>8647</v>
      </c>
      <c r="AD172" s="77" t="n">
        <f aca="false">IFERROR(__xludf.dummyfunction("""COMPUTED_VALUE"""),45501)</f>
        <v>45501</v>
      </c>
      <c r="AE172" s="77" t="n">
        <f aca="false">IFERROR(__xludf.dummyfunction("""COMPUTED_VALUE"""),34519)</f>
        <v>34519</v>
      </c>
      <c r="AF172" s="77" t="n">
        <f aca="false">IFERROR(__xludf.dummyfunction("""COMPUTED_VALUE"""),36075)</f>
        <v>36075</v>
      </c>
      <c r="AG172" s="77" t="n">
        <f aca="false">IFERROR(__xludf.dummyfunction("""COMPUTED_VALUE"""),231425)</f>
        <v>231425</v>
      </c>
      <c r="AH172" s="77" t="n">
        <f aca="false">IFERROR(__xludf.dummyfunction("""COMPUTED_VALUE"""),34840)</f>
        <v>34840</v>
      </c>
      <c r="AI172" s="77" t="n">
        <f aca="false">IFERROR(__xludf.dummyfunction("""COMPUTED_VALUE"""),318491)</f>
        <v>318491</v>
      </c>
      <c r="AJ172" s="77" t="n">
        <f aca="false">IFERROR(__xludf.dummyfunction("""COMPUTED_VALUE"""),285857)</f>
        <v>285857</v>
      </c>
      <c r="AK172" s="77" t="n">
        <f aca="false">IFERROR(__xludf.dummyfunction("""COMPUTED_VALUE"""),6690)</f>
        <v>6690</v>
      </c>
      <c r="AL172" s="77" t="n">
        <f aca="false">IFERROR(__xludf.dummyfunction("""COMPUTED_VALUE"""),386011)</f>
        <v>386011</v>
      </c>
      <c r="AM172" s="77" t="n">
        <f aca="false">IFERROR(__xludf.dummyfunction("""COMPUTED_VALUE"""),40366)</f>
        <v>40366</v>
      </c>
      <c r="AN172" s="77" t="n">
        <f aca="false">IFERROR(__xludf.dummyfunction("""COMPUTED_VALUE"""),83339)</f>
        <v>83339</v>
      </c>
      <c r="AO172" s="77" t="n">
        <f aca="false">IFERROR(__xludf.dummyfunction("""COMPUTED_VALUE"""),378959)</f>
        <v>378959</v>
      </c>
      <c r="AP172" s="77" t="n">
        <f aca="false">IFERROR(__xludf.dummyfunction("""COMPUTED_VALUE"""),33936)</f>
        <v>33936</v>
      </c>
      <c r="AQ172" s="77" t="n">
        <f aca="false">IFERROR(__xludf.dummyfunction("""COMPUTED_VALUE"""),169084)</f>
        <v>169084</v>
      </c>
      <c r="AR172" s="77" t="n">
        <f aca="false">IFERROR(__xludf.dummyfunction("""COMPUTED_VALUE"""),22574)</f>
        <v>22574</v>
      </c>
      <c r="AS172" s="77" t="n">
        <f aca="false">IFERROR(__xludf.dummyfunction("""COMPUTED_VALUE"""),79925)</f>
        <v>79925</v>
      </c>
      <c r="AT172" s="77" t="n">
        <f aca="false">IFERROR(__xludf.dummyfunction("""COMPUTED_VALUE"""),640572)</f>
        <v>640572</v>
      </c>
      <c r="AU172" s="77" t="n">
        <f aca="false">IFERROR(__xludf.dummyfunction("""COMPUTED_VALUE"""),28992)</f>
        <v>28992</v>
      </c>
      <c r="AV172" s="77" t="n">
        <f aca="false">IFERROR(__xludf.dummyfunction("""COMPUTED_VALUE"""),4640)</f>
        <v>4640</v>
      </c>
      <c r="AW172" s="77" t="n">
        <f aca="false">IFERROR(__xludf.dummyfunction("""COMPUTED_VALUE"""),165102)</f>
        <v>165102</v>
      </c>
      <c r="AX172" s="77" t="n">
        <f aca="false">IFERROR(__xludf.dummyfunction("""COMPUTED_VALUE"""),93444)</f>
        <v>93444</v>
      </c>
      <c r="AY172" s="77" t="n">
        <f aca="false">IFERROR(__xludf.dummyfunction("""COMPUTED_VALUE"""),18822)</f>
        <v>18822</v>
      </c>
      <c r="AZ172" s="77" t="n">
        <f aca="false">IFERROR(__xludf.dummyfunction("""COMPUTED_VALUE"""),120537)</f>
        <v>120537</v>
      </c>
      <c r="BA172" s="77" t="n">
        <f aca="false">IFERROR(__xludf.dummyfunction("""COMPUTED_VALUE"""),15672)</f>
        <v>15672</v>
      </c>
    </row>
    <row r="173" customFormat="false" ht="15.75" hidden="false" customHeight="false" outlineLevel="0" collapsed="false">
      <c r="B173" s="50"/>
      <c r="C173" s="29"/>
      <c r="D173" s="85"/>
    </row>
    <row r="174" customFormat="false" ht="15.75" hidden="false" customHeight="false" outlineLevel="0" collapsed="false">
      <c r="B174" s="50"/>
      <c r="C174" s="29"/>
      <c r="D174" s="85"/>
    </row>
    <row r="175" customFormat="false" ht="15.75" hidden="false" customHeight="false" outlineLevel="0" collapsed="false">
      <c r="B175" s="50"/>
      <c r="C175" s="29"/>
      <c r="D175" s="85"/>
    </row>
    <row r="176" customFormat="false" ht="15.75" hidden="false" customHeight="false" outlineLevel="0" collapsed="false">
      <c r="B176" s="50"/>
      <c r="C176" s="29"/>
      <c r="D176" s="85"/>
    </row>
    <row r="177" customFormat="false" ht="15.75" hidden="false" customHeight="false" outlineLevel="0" collapsed="false">
      <c r="B177" s="50"/>
      <c r="C177" s="29"/>
      <c r="D177" s="85"/>
    </row>
    <row r="178" customFormat="false" ht="15.75" hidden="false" customHeight="false" outlineLevel="0" collapsed="false">
      <c r="B178" s="50"/>
      <c r="C178" s="29"/>
      <c r="D178" s="85"/>
    </row>
    <row r="179" customFormat="false" ht="15.75" hidden="false" customHeight="false" outlineLevel="0" collapsed="false">
      <c r="B179" s="50"/>
      <c r="C179" s="29"/>
      <c r="D179" s="85"/>
    </row>
    <row r="180" customFormat="false" ht="15.75" hidden="false" customHeight="false" outlineLevel="0" collapsed="false">
      <c r="B180" s="50"/>
      <c r="C180" s="29"/>
      <c r="D180" s="85"/>
    </row>
    <row r="181" customFormat="false" ht="15.75" hidden="false" customHeight="false" outlineLevel="0" collapsed="false">
      <c r="B181" s="50"/>
      <c r="C181" s="29"/>
      <c r="D181" s="85"/>
    </row>
    <row r="182" customFormat="false" ht="15.75" hidden="false" customHeight="false" outlineLevel="0" collapsed="false">
      <c r="B182" s="50"/>
      <c r="C182" s="29"/>
      <c r="D182" s="85"/>
    </row>
    <row r="183" customFormat="false" ht="15.75" hidden="false" customHeight="false" outlineLevel="0" collapsed="false">
      <c r="B183" s="50"/>
      <c r="C183" s="29"/>
      <c r="D183" s="85"/>
    </row>
    <row r="184" customFormat="false" ht="15.75" hidden="false" customHeight="false" outlineLevel="0" collapsed="false">
      <c r="B184" s="50"/>
      <c r="C184" s="29"/>
      <c r="D184" s="85"/>
    </row>
    <row r="185" customFormat="false" ht="15.75" hidden="false" customHeight="false" outlineLevel="0" collapsed="false">
      <c r="B185" s="50"/>
      <c r="C185" s="29"/>
      <c r="D185" s="85"/>
    </row>
    <row r="186" customFormat="false" ht="15.75" hidden="false" customHeight="false" outlineLevel="0" collapsed="false">
      <c r="B186" s="50"/>
      <c r="C186" s="29"/>
      <c r="D186" s="85"/>
    </row>
    <row r="187" customFormat="false" ht="15.75" hidden="false" customHeight="false" outlineLevel="0" collapsed="false">
      <c r="B187" s="50"/>
      <c r="C187" s="29"/>
      <c r="D187" s="85"/>
    </row>
    <row r="188" customFormat="false" ht="15.75" hidden="false" customHeight="false" outlineLevel="0" collapsed="false">
      <c r="B188" s="50"/>
      <c r="C188" s="29"/>
      <c r="D188" s="85"/>
    </row>
    <row r="189" customFormat="false" ht="15.75" hidden="false" customHeight="false" outlineLevel="0" collapsed="false">
      <c r="B189" s="50"/>
      <c r="C189" s="29"/>
      <c r="D189" s="85"/>
    </row>
    <row r="190" customFormat="false" ht="15.75" hidden="false" customHeight="false" outlineLevel="0" collapsed="false">
      <c r="B190" s="50"/>
      <c r="C190" s="29"/>
      <c r="D190" s="85"/>
    </row>
    <row r="191" customFormat="false" ht="15.75" hidden="false" customHeight="false" outlineLevel="0" collapsed="false">
      <c r="B191" s="50"/>
      <c r="C191" s="29"/>
      <c r="D191" s="85"/>
    </row>
    <row r="192" customFormat="false" ht="15.75" hidden="false" customHeight="false" outlineLevel="0" collapsed="false">
      <c r="B192" s="50"/>
      <c r="C192" s="29"/>
      <c r="D192" s="85"/>
    </row>
    <row r="193" customFormat="false" ht="15.75" hidden="false" customHeight="false" outlineLevel="0" collapsed="false">
      <c r="B193" s="50"/>
      <c r="C193" s="29"/>
      <c r="D193" s="85"/>
    </row>
    <row r="194" customFormat="false" ht="15.75" hidden="false" customHeight="false" outlineLevel="0" collapsed="false">
      <c r="B194" s="50"/>
      <c r="C194" s="29"/>
      <c r="D194" s="85"/>
    </row>
    <row r="195" customFormat="false" ht="15.75" hidden="false" customHeight="false" outlineLevel="0" collapsed="false">
      <c r="B195" s="50"/>
      <c r="C195" s="29"/>
      <c r="D195" s="85"/>
    </row>
    <row r="196" customFormat="false" ht="15.75" hidden="false" customHeight="false" outlineLevel="0" collapsed="false">
      <c r="B196" s="50"/>
      <c r="C196" s="29"/>
      <c r="D196" s="85"/>
    </row>
    <row r="197" customFormat="false" ht="15.75" hidden="false" customHeight="false" outlineLevel="0" collapsed="false">
      <c r="B197" s="50"/>
      <c r="C197" s="29"/>
      <c r="D197" s="85"/>
    </row>
    <row r="198" customFormat="false" ht="15.75" hidden="false" customHeight="false" outlineLevel="0" collapsed="false">
      <c r="B198" s="50"/>
      <c r="C198" s="29"/>
      <c r="D198" s="85"/>
    </row>
    <row r="199" customFormat="false" ht="15.75" hidden="false" customHeight="false" outlineLevel="0" collapsed="false">
      <c r="B199" s="50"/>
      <c r="C199" s="29"/>
      <c r="D199" s="85"/>
    </row>
    <row r="200" customFormat="false" ht="15.75" hidden="false" customHeight="false" outlineLevel="0" collapsed="false">
      <c r="B200" s="50"/>
      <c r="C200" s="29"/>
      <c r="D200" s="85"/>
    </row>
    <row r="201" customFormat="false" ht="15.75" hidden="false" customHeight="false" outlineLevel="0" collapsed="false">
      <c r="B201" s="50"/>
      <c r="C201" s="29"/>
      <c r="D201" s="85"/>
    </row>
    <row r="202" customFormat="false" ht="15.75" hidden="false" customHeight="false" outlineLevel="0" collapsed="false">
      <c r="B202" s="50"/>
      <c r="C202" s="29"/>
      <c r="D202" s="85"/>
    </row>
    <row r="203" customFormat="false" ht="15.75" hidden="false" customHeight="false" outlineLevel="0" collapsed="false">
      <c r="B203" s="50"/>
      <c r="C203" s="29"/>
      <c r="D203" s="85"/>
    </row>
    <row r="204" customFormat="false" ht="15.75" hidden="false" customHeight="false" outlineLevel="0" collapsed="false">
      <c r="B204" s="50"/>
      <c r="C204" s="29"/>
      <c r="D204" s="85"/>
    </row>
    <row r="205" customFormat="false" ht="15.75" hidden="false" customHeight="false" outlineLevel="0" collapsed="false">
      <c r="B205" s="50"/>
      <c r="C205" s="29"/>
      <c r="D205" s="85"/>
    </row>
    <row r="206" customFormat="false" ht="15.75" hidden="false" customHeight="false" outlineLevel="0" collapsed="false">
      <c r="B206" s="50"/>
      <c r="C206" s="29"/>
      <c r="D206" s="85"/>
    </row>
    <row r="207" customFormat="false" ht="15.75" hidden="false" customHeight="false" outlineLevel="0" collapsed="false">
      <c r="B207" s="50"/>
      <c r="C207" s="29"/>
      <c r="D207" s="85"/>
    </row>
    <row r="208" customFormat="false" ht="15.75" hidden="false" customHeight="false" outlineLevel="0" collapsed="false">
      <c r="B208" s="50"/>
      <c r="C208" s="29"/>
      <c r="D208" s="85"/>
    </row>
    <row r="209" customFormat="false" ht="15.75" hidden="false" customHeight="false" outlineLevel="0" collapsed="false">
      <c r="B209" s="50"/>
      <c r="C209" s="29"/>
      <c r="D209" s="85"/>
    </row>
    <row r="210" customFormat="false" ht="15.75" hidden="false" customHeight="false" outlineLevel="0" collapsed="false">
      <c r="B210" s="50"/>
      <c r="C210" s="29"/>
      <c r="D210" s="85"/>
    </row>
    <row r="211" customFormat="false" ht="15.75" hidden="false" customHeight="false" outlineLevel="0" collapsed="false">
      <c r="B211" s="50"/>
      <c r="C211" s="29"/>
      <c r="D211" s="85"/>
    </row>
    <row r="212" customFormat="false" ht="15.75" hidden="false" customHeight="false" outlineLevel="0" collapsed="false">
      <c r="B212" s="50"/>
      <c r="C212" s="29"/>
      <c r="D212" s="85"/>
    </row>
    <row r="213" customFormat="false" ht="15.75" hidden="false" customHeight="false" outlineLevel="0" collapsed="false">
      <c r="B213" s="50"/>
      <c r="C213" s="29"/>
      <c r="D213" s="85"/>
    </row>
    <row r="214" customFormat="false" ht="15.75" hidden="false" customHeight="false" outlineLevel="0" collapsed="false">
      <c r="B214" s="50"/>
      <c r="C214" s="29"/>
      <c r="D214" s="85"/>
    </row>
    <row r="215" customFormat="false" ht="15.75" hidden="false" customHeight="false" outlineLevel="0" collapsed="false">
      <c r="B215" s="50"/>
      <c r="C215" s="29"/>
      <c r="D215" s="85"/>
    </row>
    <row r="216" customFormat="false" ht="15.75" hidden="false" customHeight="false" outlineLevel="0" collapsed="false">
      <c r="B216" s="50"/>
      <c r="C216" s="29"/>
      <c r="D216" s="85"/>
    </row>
    <row r="217" customFormat="false" ht="15.75" hidden="false" customHeight="false" outlineLevel="0" collapsed="false">
      <c r="B217" s="50"/>
      <c r="C217" s="29"/>
      <c r="D217" s="85"/>
    </row>
    <row r="218" customFormat="false" ht="15.75" hidden="false" customHeight="false" outlineLevel="0" collapsed="false">
      <c r="B218" s="50"/>
      <c r="C218" s="29"/>
      <c r="D218" s="85"/>
    </row>
    <row r="219" customFormat="false" ht="15.75" hidden="false" customHeight="false" outlineLevel="0" collapsed="false">
      <c r="B219" s="50"/>
      <c r="C219" s="29"/>
      <c r="D219" s="85"/>
    </row>
    <row r="220" customFormat="false" ht="15.75" hidden="false" customHeight="false" outlineLevel="0" collapsed="false">
      <c r="B220" s="50"/>
      <c r="C220" s="29"/>
      <c r="D220" s="85"/>
    </row>
    <row r="221" customFormat="false" ht="15.75" hidden="false" customHeight="false" outlineLevel="0" collapsed="false">
      <c r="B221" s="50"/>
      <c r="C221" s="29"/>
      <c r="D221" s="85"/>
    </row>
    <row r="222" customFormat="false" ht="15.75" hidden="false" customHeight="false" outlineLevel="0" collapsed="false">
      <c r="B222" s="50"/>
      <c r="C222" s="29"/>
      <c r="D222" s="85"/>
    </row>
    <row r="223" customFormat="false" ht="15.75" hidden="false" customHeight="false" outlineLevel="0" collapsed="false">
      <c r="B223" s="50"/>
      <c r="C223" s="29"/>
      <c r="D223" s="85"/>
    </row>
    <row r="224" customFormat="false" ht="15.75" hidden="false" customHeight="false" outlineLevel="0" collapsed="false">
      <c r="B224" s="50"/>
      <c r="C224" s="29"/>
      <c r="D224" s="85"/>
    </row>
    <row r="225" customFormat="false" ht="15.75" hidden="false" customHeight="false" outlineLevel="0" collapsed="false">
      <c r="B225" s="50"/>
      <c r="C225" s="29"/>
      <c r="D225" s="85"/>
    </row>
    <row r="226" customFormat="false" ht="15.75" hidden="false" customHeight="false" outlineLevel="0" collapsed="false">
      <c r="B226" s="50"/>
      <c r="C226" s="29"/>
      <c r="D226" s="85"/>
    </row>
    <row r="227" customFormat="false" ht="15.75" hidden="false" customHeight="false" outlineLevel="0" collapsed="false">
      <c r="B227" s="50"/>
      <c r="C227" s="29"/>
      <c r="D227" s="85"/>
    </row>
    <row r="228" customFormat="false" ht="15.75" hidden="false" customHeight="false" outlineLevel="0" collapsed="false">
      <c r="B228" s="50"/>
      <c r="C228" s="29"/>
      <c r="D228" s="85"/>
    </row>
    <row r="229" customFormat="false" ht="15.75" hidden="false" customHeight="false" outlineLevel="0" collapsed="false">
      <c r="B229" s="50"/>
      <c r="C229" s="29"/>
      <c r="D229" s="85"/>
    </row>
    <row r="230" customFormat="false" ht="15.75" hidden="false" customHeight="false" outlineLevel="0" collapsed="false">
      <c r="B230" s="50"/>
      <c r="C230" s="29"/>
      <c r="D230" s="85"/>
    </row>
    <row r="231" customFormat="false" ht="15.75" hidden="false" customHeight="false" outlineLevel="0" collapsed="false">
      <c r="B231" s="50"/>
      <c r="C231" s="29"/>
      <c r="D231" s="85"/>
    </row>
    <row r="232" customFormat="false" ht="15.75" hidden="false" customHeight="false" outlineLevel="0" collapsed="false">
      <c r="B232" s="50"/>
      <c r="C232" s="29"/>
      <c r="D232" s="85"/>
    </row>
    <row r="233" customFormat="false" ht="15.75" hidden="false" customHeight="false" outlineLevel="0" collapsed="false">
      <c r="B233" s="50"/>
      <c r="C233" s="29"/>
      <c r="D233" s="85"/>
    </row>
    <row r="234" customFormat="false" ht="15.75" hidden="false" customHeight="false" outlineLevel="0" collapsed="false">
      <c r="B234" s="50"/>
      <c r="C234" s="29"/>
      <c r="D234" s="85"/>
    </row>
    <row r="235" customFormat="false" ht="15.75" hidden="false" customHeight="false" outlineLevel="0" collapsed="false">
      <c r="B235" s="50"/>
      <c r="C235" s="29"/>
      <c r="D235" s="85"/>
    </row>
    <row r="236" customFormat="false" ht="15.75" hidden="false" customHeight="false" outlineLevel="0" collapsed="false">
      <c r="B236" s="50"/>
      <c r="C236" s="29"/>
      <c r="D236" s="85"/>
    </row>
    <row r="237" customFormat="false" ht="15.75" hidden="false" customHeight="false" outlineLevel="0" collapsed="false">
      <c r="B237" s="50"/>
      <c r="C237" s="29"/>
      <c r="D237" s="85"/>
    </row>
    <row r="238" customFormat="false" ht="15.75" hidden="false" customHeight="false" outlineLevel="0" collapsed="false">
      <c r="B238" s="50"/>
      <c r="C238" s="29"/>
      <c r="D238" s="85"/>
    </row>
    <row r="239" customFormat="false" ht="15.75" hidden="false" customHeight="false" outlineLevel="0" collapsed="false">
      <c r="B239" s="50"/>
      <c r="C239" s="29"/>
      <c r="D239" s="85"/>
    </row>
    <row r="240" customFormat="false" ht="15.75" hidden="false" customHeight="false" outlineLevel="0" collapsed="false">
      <c r="B240" s="50"/>
      <c r="C240" s="29"/>
      <c r="D240" s="85"/>
    </row>
    <row r="241" customFormat="false" ht="15.75" hidden="false" customHeight="false" outlineLevel="0" collapsed="false">
      <c r="B241" s="50"/>
      <c r="C241" s="29"/>
      <c r="D241" s="85"/>
    </row>
    <row r="242" customFormat="false" ht="15.75" hidden="false" customHeight="false" outlineLevel="0" collapsed="false">
      <c r="B242" s="50"/>
      <c r="C242" s="29"/>
      <c r="D242" s="85"/>
    </row>
    <row r="243" customFormat="false" ht="15.75" hidden="false" customHeight="false" outlineLevel="0" collapsed="false">
      <c r="B243" s="50"/>
      <c r="C243" s="29"/>
      <c r="D243" s="85"/>
    </row>
    <row r="244" customFormat="false" ht="15.75" hidden="false" customHeight="false" outlineLevel="0" collapsed="false">
      <c r="B244" s="50"/>
      <c r="C244" s="29"/>
      <c r="D244" s="85"/>
    </row>
    <row r="245" customFormat="false" ht="15.75" hidden="false" customHeight="false" outlineLevel="0" collapsed="false">
      <c r="B245" s="50"/>
      <c r="C245" s="29"/>
      <c r="D245" s="85"/>
    </row>
    <row r="246" customFormat="false" ht="15.75" hidden="false" customHeight="false" outlineLevel="0" collapsed="false">
      <c r="B246" s="50"/>
      <c r="C246" s="29"/>
      <c r="D246" s="85"/>
    </row>
    <row r="247" customFormat="false" ht="15.75" hidden="false" customHeight="false" outlineLevel="0" collapsed="false">
      <c r="B247" s="50"/>
      <c r="C247" s="29"/>
      <c r="D247" s="85"/>
    </row>
    <row r="248" customFormat="false" ht="15.75" hidden="false" customHeight="false" outlineLevel="0" collapsed="false">
      <c r="B248" s="50"/>
      <c r="C248" s="29"/>
      <c r="D248" s="85"/>
    </row>
    <row r="249" customFormat="false" ht="15.75" hidden="false" customHeight="false" outlineLevel="0" collapsed="false">
      <c r="B249" s="50"/>
      <c r="C249" s="29"/>
      <c r="D249" s="85"/>
    </row>
    <row r="250" customFormat="false" ht="15.75" hidden="false" customHeight="false" outlineLevel="0" collapsed="false">
      <c r="B250" s="50"/>
      <c r="C250" s="29"/>
      <c r="D250" s="85"/>
    </row>
    <row r="251" customFormat="false" ht="15.75" hidden="false" customHeight="false" outlineLevel="0" collapsed="false">
      <c r="B251" s="50"/>
      <c r="C251" s="29"/>
      <c r="D251" s="85"/>
    </row>
    <row r="252" customFormat="false" ht="15.75" hidden="false" customHeight="false" outlineLevel="0" collapsed="false">
      <c r="B252" s="50"/>
      <c r="C252" s="29"/>
      <c r="D252" s="85"/>
    </row>
    <row r="253" customFormat="false" ht="15.75" hidden="false" customHeight="false" outlineLevel="0" collapsed="false">
      <c r="B253" s="50"/>
      <c r="C253" s="29"/>
      <c r="D253" s="85"/>
    </row>
    <row r="254" customFormat="false" ht="15.75" hidden="false" customHeight="false" outlineLevel="0" collapsed="false">
      <c r="B254" s="50"/>
      <c r="C254" s="29"/>
      <c r="D254" s="85"/>
    </row>
    <row r="255" customFormat="false" ht="15.75" hidden="false" customHeight="false" outlineLevel="0" collapsed="false">
      <c r="B255" s="50"/>
      <c r="C255" s="29"/>
      <c r="D255" s="85"/>
    </row>
    <row r="256" customFormat="false" ht="15.75" hidden="false" customHeight="false" outlineLevel="0" collapsed="false">
      <c r="B256" s="50"/>
      <c r="C256" s="29"/>
      <c r="D256" s="85"/>
    </row>
    <row r="257" customFormat="false" ht="15.75" hidden="false" customHeight="false" outlineLevel="0" collapsed="false">
      <c r="B257" s="50"/>
      <c r="C257" s="29"/>
      <c r="D257" s="85"/>
    </row>
    <row r="258" customFormat="false" ht="15.75" hidden="false" customHeight="false" outlineLevel="0" collapsed="false">
      <c r="B258" s="50"/>
      <c r="C258" s="29"/>
      <c r="D258" s="85"/>
    </row>
    <row r="259" customFormat="false" ht="15.75" hidden="false" customHeight="false" outlineLevel="0" collapsed="false">
      <c r="B259" s="50"/>
      <c r="C259" s="29"/>
      <c r="D259" s="85"/>
    </row>
    <row r="260" customFormat="false" ht="15.75" hidden="false" customHeight="false" outlineLevel="0" collapsed="false">
      <c r="B260" s="50"/>
      <c r="C260" s="29"/>
      <c r="D260" s="85"/>
    </row>
    <row r="261" customFormat="false" ht="15.75" hidden="false" customHeight="false" outlineLevel="0" collapsed="false">
      <c r="B261" s="50"/>
      <c r="C261" s="29"/>
      <c r="D261" s="85"/>
    </row>
    <row r="262" customFormat="false" ht="15.75" hidden="false" customHeight="false" outlineLevel="0" collapsed="false">
      <c r="B262" s="50"/>
      <c r="C262" s="29"/>
      <c r="D262" s="85"/>
    </row>
    <row r="263" customFormat="false" ht="15.75" hidden="false" customHeight="false" outlineLevel="0" collapsed="false">
      <c r="B263" s="50"/>
      <c r="C263" s="29"/>
      <c r="D263" s="85"/>
    </row>
    <row r="264" customFormat="false" ht="15.75" hidden="false" customHeight="false" outlineLevel="0" collapsed="false">
      <c r="B264" s="50"/>
      <c r="C264" s="29"/>
      <c r="D264" s="85"/>
    </row>
    <row r="265" customFormat="false" ht="15.75" hidden="false" customHeight="false" outlineLevel="0" collapsed="false">
      <c r="B265" s="50"/>
      <c r="C265" s="29"/>
      <c r="D265" s="85"/>
    </row>
    <row r="266" customFormat="false" ht="15.75" hidden="false" customHeight="false" outlineLevel="0" collapsed="false">
      <c r="B266" s="50"/>
      <c r="C266" s="29"/>
      <c r="D266" s="85"/>
    </row>
    <row r="267" customFormat="false" ht="15.75" hidden="false" customHeight="false" outlineLevel="0" collapsed="false">
      <c r="B267" s="50"/>
      <c r="C267" s="29"/>
      <c r="D267" s="85"/>
    </row>
    <row r="268" customFormat="false" ht="15.75" hidden="false" customHeight="false" outlineLevel="0" collapsed="false">
      <c r="B268" s="50"/>
      <c r="C268" s="29"/>
      <c r="D268" s="85"/>
    </row>
    <row r="269" customFormat="false" ht="15.75" hidden="false" customHeight="false" outlineLevel="0" collapsed="false">
      <c r="B269" s="50"/>
      <c r="C269" s="29"/>
      <c r="D269" s="85"/>
    </row>
    <row r="270" customFormat="false" ht="15.75" hidden="false" customHeight="false" outlineLevel="0" collapsed="false">
      <c r="B270" s="50"/>
      <c r="C270" s="29"/>
      <c r="D270" s="85"/>
    </row>
    <row r="271" customFormat="false" ht="15.75" hidden="false" customHeight="false" outlineLevel="0" collapsed="false">
      <c r="B271" s="50"/>
      <c r="C271" s="29"/>
      <c r="D271" s="85"/>
    </row>
    <row r="272" customFormat="false" ht="15.75" hidden="false" customHeight="false" outlineLevel="0" collapsed="false">
      <c r="B272" s="50"/>
      <c r="C272" s="29"/>
      <c r="D272" s="85"/>
    </row>
    <row r="273" customFormat="false" ht="15.75" hidden="false" customHeight="false" outlineLevel="0" collapsed="false">
      <c r="B273" s="50"/>
      <c r="C273" s="29"/>
      <c r="D273" s="85"/>
    </row>
    <row r="274" customFormat="false" ht="15.75" hidden="false" customHeight="false" outlineLevel="0" collapsed="false">
      <c r="B274" s="50"/>
      <c r="C274" s="29"/>
      <c r="D274" s="85"/>
    </row>
    <row r="275" customFormat="false" ht="15.75" hidden="false" customHeight="false" outlineLevel="0" collapsed="false">
      <c r="B275" s="50"/>
      <c r="C275" s="29"/>
      <c r="D275" s="85"/>
    </row>
    <row r="276" customFormat="false" ht="15.75" hidden="false" customHeight="false" outlineLevel="0" collapsed="false">
      <c r="B276" s="50"/>
      <c r="C276" s="29"/>
      <c r="D276" s="85"/>
    </row>
    <row r="277" customFormat="false" ht="15.75" hidden="false" customHeight="false" outlineLevel="0" collapsed="false">
      <c r="B277" s="50"/>
      <c r="C277" s="29"/>
      <c r="D277" s="85"/>
    </row>
    <row r="278" customFormat="false" ht="15.75" hidden="false" customHeight="false" outlineLevel="0" collapsed="false">
      <c r="B278" s="50"/>
      <c r="C278" s="29"/>
      <c r="D278" s="85"/>
    </row>
    <row r="279" customFormat="false" ht="15.75" hidden="false" customHeight="false" outlineLevel="0" collapsed="false">
      <c r="B279" s="50"/>
      <c r="C279" s="29"/>
      <c r="D279" s="85"/>
    </row>
    <row r="280" customFormat="false" ht="15.75" hidden="false" customHeight="false" outlineLevel="0" collapsed="false">
      <c r="B280" s="50"/>
      <c r="C280" s="29"/>
      <c r="D280" s="85"/>
    </row>
    <row r="281" customFormat="false" ht="15.75" hidden="false" customHeight="false" outlineLevel="0" collapsed="false">
      <c r="B281" s="50"/>
      <c r="C281" s="29"/>
      <c r="D281" s="85"/>
    </row>
    <row r="282" customFormat="false" ht="15.75" hidden="false" customHeight="false" outlineLevel="0" collapsed="false">
      <c r="B282" s="50"/>
      <c r="C282" s="29"/>
      <c r="D282" s="85"/>
    </row>
    <row r="283" customFormat="false" ht="15.75" hidden="false" customHeight="false" outlineLevel="0" collapsed="false">
      <c r="B283" s="50"/>
      <c r="C283" s="29"/>
      <c r="D283" s="85"/>
    </row>
    <row r="284" customFormat="false" ht="15.75" hidden="false" customHeight="false" outlineLevel="0" collapsed="false">
      <c r="B284" s="50"/>
      <c r="C284" s="29"/>
      <c r="D284" s="85"/>
    </row>
    <row r="285" customFormat="false" ht="15.75" hidden="false" customHeight="false" outlineLevel="0" collapsed="false">
      <c r="B285" s="50"/>
      <c r="C285" s="29"/>
      <c r="D285" s="85"/>
    </row>
    <row r="286" customFormat="false" ht="15.75" hidden="false" customHeight="false" outlineLevel="0" collapsed="false">
      <c r="B286" s="50"/>
      <c r="C286" s="29"/>
      <c r="D286" s="85"/>
    </row>
    <row r="287" customFormat="false" ht="15.75" hidden="false" customHeight="false" outlineLevel="0" collapsed="false">
      <c r="B287" s="50"/>
      <c r="C287" s="29"/>
      <c r="D287" s="85"/>
    </row>
    <row r="288" customFormat="false" ht="15.75" hidden="false" customHeight="false" outlineLevel="0" collapsed="false">
      <c r="B288" s="50"/>
      <c r="C288" s="29"/>
      <c r="D288" s="85"/>
    </row>
    <row r="289" customFormat="false" ht="15.75" hidden="false" customHeight="false" outlineLevel="0" collapsed="false">
      <c r="B289" s="50"/>
      <c r="C289" s="29"/>
      <c r="D289" s="85"/>
    </row>
    <row r="290" customFormat="false" ht="15.75" hidden="false" customHeight="false" outlineLevel="0" collapsed="false">
      <c r="B290" s="50"/>
      <c r="C290" s="29"/>
      <c r="D290" s="85"/>
    </row>
    <row r="291" customFormat="false" ht="15.75" hidden="false" customHeight="false" outlineLevel="0" collapsed="false">
      <c r="B291" s="50"/>
      <c r="C291" s="29"/>
      <c r="D291" s="85"/>
    </row>
    <row r="292" customFormat="false" ht="15.75" hidden="false" customHeight="false" outlineLevel="0" collapsed="false">
      <c r="B292" s="50"/>
      <c r="C292" s="29"/>
      <c r="D292" s="85"/>
    </row>
    <row r="293" customFormat="false" ht="15.75" hidden="false" customHeight="false" outlineLevel="0" collapsed="false">
      <c r="B293" s="50"/>
      <c r="C293" s="29"/>
      <c r="D293" s="85"/>
    </row>
    <row r="294" customFormat="false" ht="15.75" hidden="false" customHeight="false" outlineLevel="0" collapsed="false">
      <c r="B294" s="50"/>
      <c r="C294" s="29"/>
      <c r="D294" s="85"/>
    </row>
    <row r="295" customFormat="false" ht="15.75" hidden="false" customHeight="false" outlineLevel="0" collapsed="false">
      <c r="B295" s="50"/>
      <c r="C295" s="29"/>
      <c r="D295" s="85"/>
    </row>
    <row r="296" customFormat="false" ht="15.75" hidden="false" customHeight="false" outlineLevel="0" collapsed="false">
      <c r="B296" s="50"/>
      <c r="C296" s="29"/>
      <c r="D296" s="85"/>
    </row>
    <row r="297" customFormat="false" ht="15.75" hidden="false" customHeight="false" outlineLevel="0" collapsed="false">
      <c r="B297" s="50"/>
      <c r="C297" s="29"/>
      <c r="D297" s="85"/>
    </row>
    <row r="298" customFormat="false" ht="15.75" hidden="false" customHeight="false" outlineLevel="0" collapsed="false">
      <c r="B298" s="50"/>
      <c r="C298" s="29"/>
      <c r="D298" s="85"/>
    </row>
    <row r="299" customFormat="false" ht="15.75" hidden="false" customHeight="false" outlineLevel="0" collapsed="false">
      <c r="B299" s="50"/>
      <c r="C299" s="29"/>
      <c r="D299" s="85"/>
    </row>
    <row r="300" customFormat="false" ht="15.75" hidden="false" customHeight="false" outlineLevel="0" collapsed="false">
      <c r="B300" s="50"/>
      <c r="C300" s="29"/>
      <c r="D300" s="85"/>
    </row>
    <row r="301" customFormat="false" ht="15.75" hidden="false" customHeight="false" outlineLevel="0" collapsed="false">
      <c r="B301" s="50"/>
      <c r="C301" s="29"/>
      <c r="D301" s="85"/>
    </row>
    <row r="302" customFormat="false" ht="15.75" hidden="false" customHeight="false" outlineLevel="0" collapsed="false">
      <c r="B302" s="50"/>
      <c r="C302" s="29"/>
      <c r="D302" s="85"/>
    </row>
    <row r="303" customFormat="false" ht="15.75" hidden="false" customHeight="false" outlineLevel="0" collapsed="false">
      <c r="B303" s="50"/>
      <c r="C303" s="29"/>
      <c r="D303" s="85"/>
    </row>
    <row r="304" customFormat="false" ht="15.75" hidden="false" customHeight="false" outlineLevel="0" collapsed="false">
      <c r="B304" s="50"/>
      <c r="C304" s="29"/>
      <c r="D304" s="85"/>
    </row>
    <row r="305" customFormat="false" ht="15.75" hidden="false" customHeight="false" outlineLevel="0" collapsed="false">
      <c r="B305" s="50"/>
      <c r="C305" s="29"/>
      <c r="D305" s="85"/>
    </row>
    <row r="306" customFormat="false" ht="15.75" hidden="false" customHeight="false" outlineLevel="0" collapsed="false">
      <c r="B306" s="50"/>
      <c r="C306" s="29"/>
      <c r="D306" s="85"/>
    </row>
    <row r="307" customFormat="false" ht="15.75" hidden="false" customHeight="false" outlineLevel="0" collapsed="false">
      <c r="B307" s="50"/>
      <c r="C307" s="29"/>
      <c r="D307" s="85"/>
    </row>
    <row r="308" customFormat="false" ht="15.75" hidden="false" customHeight="false" outlineLevel="0" collapsed="false">
      <c r="B308" s="50"/>
      <c r="C308" s="29"/>
      <c r="D308" s="85"/>
    </row>
    <row r="309" customFormat="false" ht="15.75" hidden="false" customHeight="false" outlineLevel="0" collapsed="false">
      <c r="B309" s="50"/>
      <c r="C309" s="29"/>
      <c r="D309" s="85"/>
    </row>
    <row r="310" customFormat="false" ht="15.75" hidden="false" customHeight="false" outlineLevel="0" collapsed="false">
      <c r="B310" s="50"/>
      <c r="C310" s="29"/>
      <c r="D310" s="85"/>
    </row>
    <row r="311" customFormat="false" ht="15.75" hidden="false" customHeight="false" outlineLevel="0" collapsed="false">
      <c r="B311" s="50"/>
      <c r="C311" s="29"/>
      <c r="D311" s="85"/>
    </row>
    <row r="312" customFormat="false" ht="15.75" hidden="false" customHeight="false" outlineLevel="0" collapsed="false">
      <c r="B312" s="50"/>
      <c r="C312" s="29"/>
      <c r="D312" s="85"/>
    </row>
    <row r="313" customFormat="false" ht="15.75" hidden="false" customHeight="false" outlineLevel="0" collapsed="false">
      <c r="B313" s="50"/>
      <c r="C313" s="29"/>
      <c r="D313" s="85"/>
    </row>
    <row r="314" customFormat="false" ht="15.75" hidden="false" customHeight="false" outlineLevel="0" collapsed="false">
      <c r="B314" s="50"/>
      <c r="C314" s="29"/>
      <c r="D314" s="85"/>
    </row>
    <row r="315" customFormat="false" ht="15.75" hidden="false" customHeight="false" outlineLevel="0" collapsed="false">
      <c r="B315" s="50"/>
      <c r="C315" s="29"/>
      <c r="D315" s="85"/>
    </row>
    <row r="316" customFormat="false" ht="15.75" hidden="false" customHeight="false" outlineLevel="0" collapsed="false">
      <c r="B316" s="50"/>
      <c r="C316" s="29"/>
      <c r="D316" s="85"/>
    </row>
    <row r="317" customFormat="false" ht="15.75" hidden="false" customHeight="false" outlineLevel="0" collapsed="false">
      <c r="B317" s="50"/>
      <c r="C317" s="29"/>
      <c r="D317" s="85"/>
    </row>
    <row r="318" customFormat="false" ht="15.75" hidden="false" customHeight="false" outlineLevel="0" collapsed="false">
      <c r="B318" s="50"/>
      <c r="C318" s="29"/>
      <c r="D318" s="85"/>
    </row>
    <row r="319" customFormat="false" ht="15.75" hidden="false" customHeight="false" outlineLevel="0" collapsed="false">
      <c r="B319" s="50"/>
      <c r="C319" s="29"/>
      <c r="D319" s="85"/>
    </row>
    <row r="320" customFormat="false" ht="15.75" hidden="false" customHeight="false" outlineLevel="0" collapsed="false">
      <c r="B320" s="50"/>
      <c r="C320" s="29"/>
      <c r="D320" s="85"/>
    </row>
    <row r="321" customFormat="false" ht="15.75" hidden="false" customHeight="false" outlineLevel="0" collapsed="false">
      <c r="B321" s="50"/>
      <c r="C321" s="29"/>
      <c r="D321" s="85"/>
    </row>
    <row r="322" customFormat="false" ht="15.75" hidden="false" customHeight="false" outlineLevel="0" collapsed="false">
      <c r="B322" s="50"/>
      <c r="C322" s="29"/>
      <c r="D322" s="85"/>
    </row>
    <row r="323" customFormat="false" ht="15.75" hidden="false" customHeight="false" outlineLevel="0" collapsed="false">
      <c r="B323" s="50"/>
      <c r="C323" s="29"/>
      <c r="D323" s="85"/>
    </row>
    <row r="324" customFormat="false" ht="15.75" hidden="false" customHeight="false" outlineLevel="0" collapsed="false">
      <c r="B324" s="50"/>
      <c r="C324" s="29"/>
      <c r="D324" s="85"/>
    </row>
    <row r="325" customFormat="false" ht="15.75" hidden="false" customHeight="false" outlineLevel="0" collapsed="false">
      <c r="B325" s="50"/>
      <c r="C325" s="29"/>
      <c r="D325" s="85"/>
    </row>
    <row r="326" customFormat="false" ht="15.75" hidden="false" customHeight="false" outlineLevel="0" collapsed="false">
      <c r="B326" s="50"/>
      <c r="C326" s="29"/>
      <c r="D326" s="85"/>
    </row>
    <row r="327" customFormat="false" ht="15.75" hidden="false" customHeight="false" outlineLevel="0" collapsed="false">
      <c r="B327" s="50"/>
      <c r="C327" s="29"/>
      <c r="D327" s="85"/>
    </row>
    <row r="328" customFormat="false" ht="15.75" hidden="false" customHeight="false" outlineLevel="0" collapsed="false">
      <c r="B328" s="50"/>
      <c r="C328" s="29"/>
      <c r="D328" s="85"/>
    </row>
    <row r="329" customFormat="false" ht="15.75" hidden="false" customHeight="false" outlineLevel="0" collapsed="false">
      <c r="B329" s="50"/>
      <c r="C329" s="29"/>
      <c r="D329" s="85"/>
    </row>
    <row r="330" customFormat="false" ht="15.75" hidden="false" customHeight="false" outlineLevel="0" collapsed="false">
      <c r="B330" s="50"/>
      <c r="C330" s="29"/>
      <c r="D330" s="85"/>
    </row>
    <row r="331" customFormat="false" ht="15.75" hidden="false" customHeight="false" outlineLevel="0" collapsed="false">
      <c r="B331" s="50"/>
      <c r="C331" s="29"/>
      <c r="D331" s="85"/>
    </row>
    <row r="332" customFormat="false" ht="15.75" hidden="false" customHeight="false" outlineLevel="0" collapsed="false">
      <c r="B332" s="50"/>
      <c r="C332" s="29"/>
      <c r="D332" s="85"/>
    </row>
    <row r="333" customFormat="false" ht="15.75" hidden="false" customHeight="false" outlineLevel="0" collapsed="false">
      <c r="B333" s="50"/>
      <c r="C333" s="29"/>
      <c r="D333" s="85"/>
    </row>
    <row r="334" customFormat="false" ht="15.75" hidden="false" customHeight="false" outlineLevel="0" collapsed="false">
      <c r="B334" s="50"/>
      <c r="C334" s="29"/>
      <c r="D334" s="85"/>
    </row>
    <row r="335" customFormat="false" ht="15.75" hidden="false" customHeight="false" outlineLevel="0" collapsed="false">
      <c r="B335" s="50"/>
      <c r="C335" s="29"/>
      <c r="D335" s="85"/>
    </row>
    <row r="336" customFormat="false" ht="15.75" hidden="false" customHeight="false" outlineLevel="0" collapsed="false">
      <c r="B336" s="50"/>
      <c r="C336" s="29"/>
      <c r="D336" s="85"/>
    </row>
    <row r="337" customFormat="false" ht="15.75" hidden="false" customHeight="false" outlineLevel="0" collapsed="false">
      <c r="B337" s="50"/>
      <c r="C337" s="29"/>
      <c r="D337" s="85"/>
    </row>
    <row r="338" customFormat="false" ht="15.75" hidden="false" customHeight="false" outlineLevel="0" collapsed="false">
      <c r="B338" s="50"/>
      <c r="C338" s="29"/>
      <c r="D338" s="85"/>
    </row>
    <row r="339" customFormat="false" ht="15.75" hidden="false" customHeight="false" outlineLevel="0" collapsed="false">
      <c r="B339" s="50"/>
      <c r="C339" s="29"/>
      <c r="D339" s="85"/>
    </row>
    <row r="340" customFormat="false" ht="15.75" hidden="false" customHeight="false" outlineLevel="0" collapsed="false">
      <c r="B340" s="50"/>
      <c r="C340" s="29"/>
      <c r="D340" s="85"/>
    </row>
    <row r="341" customFormat="false" ht="15.75" hidden="false" customHeight="false" outlineLevel="0" collapsed="false">
      <c r="B341" s="50"/>
      <c r="C341" s="29"/>
      <c r="D341" s="85"/>
    </row>
    <row r="342" customFormat="false" ht="15.75" hidden="false" customHeight="false" outlineLevel="0" collapsed="false">
      <c r="B342" s="50"/>
      <c r="C342" s="29"/>
      <c r="D342" s="85"/>
    </row>
    <row r="343" customFormat="false" ht="15.75" hidden="false" customHeight="false" outlineLevel="0" collapsed="false">
      <c r="B343" s="50"/>
      <c r="C343" s="29"/>
      <c r="D343" s="85"/>
    </row>
    <row r="344" customFormat="false" ht="15.75" hidden="false" customHeight="false" outlineLevel="0" collapsed="false">
      <c r="B344" s="50"/>
      <c r="C344" s="29"/>
      <c r="D344" s="85"/>
    </row>
    <row r="345" customFormat="false" ht="15.75" hidden="false" customHeight="false" outlineLevel="0" collapsed="false">
      <c r="B345" s="50"/>
      <c r="C345" s="29"/>
      <c r="D345" s="85"/>
    </row>
    <row r="346" customFormat="false" ht="15.75" hidden="false" customHeight="false" outlineLevel="0" collapsed="false">
      <c r="B346" s="50"/>
      <c r="C346" s="29"/>
      <c r="D346" s="85"/>
    </row>
    <row r="347" customFormat="false" ht="15.75" hidden="false" customHeight="false" outlineLevel="0" collapsed="false">
      <c r="B347" s="50"/>
      <c r="C347" s="29"/>
      <c r="D347" s="85"/>
    </row>
    <row r="348" customFormat="false" ht="15.75" hidden="false" customHeight="false" outlineLevel="0" collapsed="false">
      <c r="B348" s="50"/>
      <c r="C348" s="29"/>
      <c r="D348" s="85"/>
    </row>
    <row r="349" customFormat="false" ht="15.75" hidden="false" customHeight="false" outlineLevel="0" collapsed="false">
      <c r="B349" s="50"/>
      <c r="C349" s="29"/>
      <c r="D349" s="85"/>
    </row>
    <row r="350" customFormat="false" ht="15.75" hidden="false" customHeight="false" outlineLevel="0" collapsed="false">
      <c r="B350" s="50"/>
      <c r="C350" s="29"/>
      <c r="D350" s="85"/>
    </row>
    <row r="351" customFormat="false" ht="15.75" hidden="false" customHeight="false" outlineLevel="0" collapsed="false">
      <c r="B351" s="50"/>
      <c r="C351" s="29"/>
      <c r="D351" s="85"/>
    </row>
    <row r="352" customFormat="false" ht="15.75" hidden="false" customHeight="false" outlineLevel="0" collapsed="false">
      <c r="B352" s="50"/>
      <c r="C352" s="29"/>
      <c r="D352" s="85"/>
    </row>
    <row r="353" customFormat="false" ht="15.75" hidden="false" customHeight="false" outlineLevel="0" collapsed="false">
      <c r="B353" s="50"/>
      <c r="C353" s="29"/>
      <c r="D353" s="85"/>
    </row>
    <row r="354" customFormat="false" ht="15.75" hidden="false" customHeight="false" outlineLevel="0" collapsed="false">
      <c r="B354" s="50"/>
      <c r="C354" s="29"/>
      <c r="D354" s="85"/>
    </row>
    <row r="355" customFormat="false" ht="15.75" hidden="false" customHeight="false" outlineLevel="0" collapsed="false">
      <c r="B355" s="50"/>
      <c r="C355" s="29"/>
      <c r="D355" s="85"/>
    </row>
    <row r="356" customFormat="false" ht="15.75" hidden="false" customHeight="false" outlineLevel="0" collapsed="false">
      <c r="B356" s="50"/>
      <c r="C356" s="29"/>
      <c r="D356" s="85"/>
    </row>
    <row r="357" customFormat="false" ht="15.75" hidden="false" customHeight="false" outlineLevel="0" collapsed="false">
      <c r="B357" s="50"/>
      <c r="C357" s="29"/>
      <c r="D357" s="85"/>
    </row>
    <row r="358" customFormat="false" ht="15.75" hidden="false" customHeight="false" outlineLevel="0" collapsed="false">
      <c r="B358" s="50"/>
      <c r="C358" s="29"/>
      <c r="D358" s="85"/>
    </row>
    <row r="359" customFormat="false" ht="15.75" hidden="false" customHeight="false" outlineLevel="0" collapsed="false">
      <c r="B359" s="50"/>
      <c r="C359" s="29"/>
      <c r="D359" s="85"/>
    </row>
    <row r="360" customFormat="false" ht="15.75" hidden="false" customHeight="false" outlineLevel="0" collapsed="false">
      <c r="B360" s="50"/>
      <c r="C360" s="29"/>
      <c r="D360" s="85"/>
    </row>
    <row r="361" customFormat="false" ht="15.75" hidden="false" customHeight="false" outlineLevel="0" collapsed="false">
      <c r="B361" s="50"/>
      <c r="C361" s="29"/>
      <c r="D361" s="85"/>
    </row>
    <row r="362" customFormat="false" ht="15.75" hidden="false" customHeight="false" outlineLevel="0" collapsed="false">
      <c r="B362" s="50"/>
      <c r="C362" s="29"/>
      <c r="D362" s="85"/>
    </row>
    <row r="363" customFormat="false" ht="15.75" hidden="false" customHeight="false" outlineLevel="0" collapsed="false">
      <c r="B363" s="50"/>
      <c r="C363" s="29"/>
      <c r="D363" s="85"/>
    </row>
    <row r="364" customFormat="false" ht="15.75" hidden="false" customHeight="false" outlineLevel="0" collapsed="false">
      <c r="B364" s="50"/>
      <c r="C364" s="29"/>
      <c r="D364" s="85"/>
    </row>
    <row r="365" customFormat="false" ht="15.75" hidden="false" customHeight="false" outlineLevel="0" collapsed="false">
      <c r="B365" s="50"/>
      <c r="C365" s="29"/>
      <c r="D365" s="85"/>
    </row>
    <row r="366" customFormat="false" ht="15.75" hidden="false" customHeight="false" outlineLevel="0" collapsed="false">
      <c r="B366" s="50"/>
      <c r="C366" s="29"/>
      <c r="D366" s="85"/>
    </row>
    <row r="367" customFormat="false" ht="15.75" hidden="false" customHeight="false" outlineLevel="0" collapsed="false">
      <c r="B367" s="50"/>
      <c r="C367" s="29"/>
      <c r="D367" s="85"/>
    </row>
    <row r="368" customFormat="false" ht="15.75" hidden="false" customHeight="false" outlineLevel="0" collapsed="false">
      <c r="B368" s="50"/>
      <c r="C368" s="29"/>
      <c r="D368" s="85"/>
    </row>
    <row r="369" customFormat="false" ht="15.75" hidden="false" customHeight="false" outlineLevel="0" collapsed="false">
      <c r="B369" s="50"/>
      <c r="C369" s="29"/>
      <c r="D369" s="85"/>
    </row>
    <row r="370" customFormat="false" ht="15.75" hidden="false" customHeight="false" outlineLevel="0" collapsed="false">
      <c r="B370" s="50"/>
      <c r="C370" s="29"/>
      <c r="D370" s="85"/>
    </row>
    <row r="371" customFormat="false" ht="15.75" hidden="false" customHeight="false" outlineLevel="0" collapsed="false">
      <c r="B371" s="50"/>
      <c r="C371" s="29"/>
      <c r="D371" s="85"/>
    </row>
    <row r="372" customFormat="false" ht="15.75" hidden="false" customHeight="false" outlineLevel="0" collapsed="false">
      <c r="B372" s="50"/>
      <c r="C372" s="29"/>
      <c r="D372" s="85"/>
    </row>
    <row r="373" customFormat="false" ht="15.75" hidden="false" customHeight="false" outlineLevel="0" collapsed="false">
      <c r="B373" s="50"/>
      <c r="C373" s="29"/>
      <c r="D373" s="85"/>
    </row>
    <row r="374" customFormat="false" ht="15.75" hidden="false" customHeight="false" outlineLevel="0" collapsed="false">
      <c r="B374" s="50"/>
      <c r="C374" s="29"/>
      <c r="D374" s="85"/>
    </row>
    <row r="375" customFormat="false" ht="15.75" hidden="false" customHeight="false" outlineLevel="0" collapsed="false">
      <c r="B375" s="50"/>
      <c r="C375" s="29"/>
      <c r="D375" s="85"/>
    </row>
    <row r="376" customFormat="false" ht="15.75" hidden="false" customHeight="false" outlineLevel="0" collapsed="false">
      <c r="B376" s="50"/>
      <c r="C376" s="29"/>
      <c r="D376" s="85"/>
    </row>
    <row r="377" customFormat="false" ht="15.75" hidden="false" customHeight="false" outlineLevel="0" collapsed="false">
      <c r="B377" s="50"/>
      <c r="C377" s="29"/>
      <c r="D377" s="85"/>
    </row>
    <row r="378" customFormat="false" ht="15.75" hidden="false" customHeight="false" outlineLevel="0" collapsed="false">
      <c r="B378" s="50"/>
      <c r="C378" s="29"/>
      <c r="D378" s="85"/>
    </row>
    <row r="379" customFormat="false" ht="15.75" hidden="false" customHeight="false" outlineLevel="0" collapsed="false">
      <c r="B379" s="50"/>
      <c r="C379" s="29"/>
      <c r="D379" s="85"/>
    </row>
    <row r="380" customFormat="false" ht="15.75" hidden="false" customHeight="false" outlineLevel="0" collapsed="false">
      <c r="B380" s="50"/>
      <c r="C380" s="29"/>
      <c r="D380" s="85"/>
    </row>
    <row r="381" customFormat="false" ht="15.75" hidden="false" customHeight="false" outlineLevel="0" collapsed="false">
      <c r="B381" s="50"/>
      <c r="C381" s="29"/>
      <c r="D381" s="85"/>
    </row>
    <row r="382" customFormat="false" ht="15.75" hidden="false" customHeight="false" outlineLevel="0" collapsed="false">
      <c r="B382" s="50"/>
      <c r="C382" s="29"/>
      <c r="D382" s="85"/>
    </row>
    <row r="383" customFormat="false" ht="15.75" hidden="false" customHeight="false" outlineLevel="0" collapsed="false">
      <c r="B383" s="50"/>
      <c r="C383" s="29"/>
      <c r="D383" s="85"/>
    </row>
    <row r="384" customFormat="false" ht="15.75" hidden="false" customHeight="false" outlineLevel="0" collapsed="false">
      <c r="B384" s="50"/>
      <c r="C384" s="29"/>
      <c r="D384" s="85"/>
    </row>
    <row r="385" customFormat="false" ht="15.75" hidden="false" customHeight="false" outlineLevel="0" collapsed="false">
      <c r="B385" s="50"/>
      <c r="C385" s="29"/>
      <c r="D385" s="85"/>
    </row>
    <row r="386" customFormat="false" ht="15.75" hidden="false" customHeight="false" outlineLevel="0" collapsed="false">
      <c r="B386" s="50"/>
      <c r="C386" s="29"/>
      <c r="D386" s="85"/>
    </row>
    <row r="387" customFormat="false" ht="15.75" hidden="false" customHeight="false" outlineLevel="0" collapsed="false">
      <c r="B387" s="50"/>
      <c r="C387" s="29"/>
      <c r="D387" s="85"/>
    </row>
    <row r="388" customFormat="false" ht="15.75" hidden="false" customHeight="false" outlineLevel="0" collapsed="false">
      <c r="B388" s="50"/>
      <c r="C388" s="29"/>
      <c r="D388" s="85"/>
    </row>
    <row r="389" customFormat="false" ht="15.75" hidden="false" customHeight="false" outlineLevel="0" collapsed="false">
      <c r="B389" s="50"/>
      <c r="C389" s="29"/>
      <c r="D389" s="85"/>
    </row>
    <row r="390" customFormat="false" ht="15.75" hidden="false" customHeight="false" outlineLevel="0" collapsed="false">
      <c r="B390" s="50"/>
      <c r="C390" s="29"/>
      <c r="D390" s="85"/>
    </row>
    <row r="391" customFormat="false" ht="15.75" hidden="false" customHeight="false" outlineLevel="0" collapsed="false">
      <c r="B391" s="50"/>
      <c r="C391" s="29"/>
      <c r="D391" s="85"/>
    </row>
    <row r="392" customFormat="false" ht="15.75" hidden="false" customHeight="false" outlineLevel="0" collapsed="false">
      <c r="B392" s="50"/>
      <c r="C392" s="29"/>
      <c r="D392" s="85"/>
    </row>
    <row r="393" customFormat="false" ht="15.75" hidden="false" customHeight="false" outlineLevel="0" collapsed="false">
      <c r="B393" s="50"/>
      <c r="C393" s="29"/>
      <c r="D393" s="85"/>
    </row>
    <row r="394" customFormat="false" ht="15.75" hidden="false" customHeight="false" outlineLevel="0" collapsed="false">
      <c r="B394" s="50"/>
      <c r="C394" s="29"/>
      <c r="D394" s="85"/>
    </row>
    <row r="395" customFormat="false" ht="15.75" hidden="false" customHeight="false" outlineLevel="0" collapsed="false">
      <c r="B395" s="50"/>
      <c r="C395" s="29"/>
      <c r="D395" s="85"/>
    </row>
    <row r="396" customFormat="false" ht="15.75" hidden="false" customHeight="false" outlineLevel="0" collapsed="false">
      <c r="B396" s="50"/>
      <c r="C396" s="29"/>
      <c r="D396" s="85"/>
    </row>
    <row r="397" customFormat="false" ht="15.75" hidden="false" customHeight="false" outlineLevel="0" collapsed="false">
      <c r="B397" s="50"/>
      <c r="C397" s="29"/>
      <c r="D397" s="85"/>
    </row>
    <row r="398" customFormat="false" ht="15.75" hidden="false" customHeight="false" outlineLevel="0" collapsed="false">
      <c r="B398" s="50"/>
      <c r="C398" s="29"/>
      <c r="D398" s="85"/>
    </row>
    <row r="399" customFormat="false" ht="15.75" hidden="false" customHeight="false" outlineLevel="0" collapsed="false">
      <c r="B399" s="50"/>
      <c r="C399" s="29"/>
      <c r="D399" s="85"/>
    </row>
    <row r="400" customFormat="false" ht="15.75" hidden="false" customHeight="false" outlineLevel="0" collapsed="false">
      <c r="B400" s="50"/>
      <c r="C400" s="29"/>
      <c r="D400" s="85"/>
    </row>
    <row r="401" customFormat="false" ht="15.75" hidden="false" customHeight="false" outlineLevel="0" collapsed="false">
      <c r="B401" s="50"/>
      <c r="C401" s="29"/>
      <c r="D401" s="85"/>
    </row>
    <row r="402" customFormat="false" ht="15.75" hidden="false" customHeight="false" outlineLevel="0" collapsed="false">
      <c r="B402" s="50"/>
      <c r="C402" s="29"/>
      <c r="D402" s="85"/>
    </row>
    <row r="403" customFormat="false" ht="15.75" hidden="false" customHeight="false" outlineLevel="0" collapsed="false">
      <c r="B403" s="50"/>
      <c r="C403" s="29"/>
      <c r="D403" s="85"/>
    </row>
    <row r="404" customFormat="false" ht="15.75" hidden="false" customHeight="false" outlineLevel="0" collapsed="false">
      <c r="B404" s="50"/>
      <c r="C404" s="29"/>
      <c r="D404" s="85"/>
    </row>
    <row r="405" customFormat="false" ht="15.75" hidden="false" customHeight="false" outlineLevel="0" collapsed="false">
      <c r="B405" s="50"/>
      <c r="C405" s="29"/>
      <c r="D405" s="85"/>
    </row>
    <row r="406" customFormat="false" ht="15.75" hidden="false" customHeight="false" outlineLevel="0" collapsed="false">
      <c r="B406" s="50"/>
      <c r="C406" s="29"/>
      <c r="D406" s="85"/>
    </row>
    <row r="407" customFormat="false" ht="15.75" hidden="false" customHeight="false" outlineLevel="0" collapsed="false">
      <c r="B407" s="50"/>
      <c r="C407" s="29"/>
      <c r="D407" s="85"/>
    </row>
    <row r="408" customFormat="false" ht="15.75" hidden="false" customHeight="false" outlineLevel="0" collapsed="false">
      <c r="B408" s="50"/>
      <c r="C408" s="29"/>
      <c r="D408" s="85"/>
    </row>
    <row r="409" customFormat="false" ht="15.75" hidden="false" customHeight="false" outlineLevel="0" collapsed="false">
      <c r="B409" s="50"/>
      <c r="C409" s="29"/>
      <c r="D409" s="85"/>
    </row>
    <row r="410" customFormat="false" ht="15.75" hidden="false" customHeight="false" outlineLevel="0" collapsed="false">
      <c r="B410" s="50"/>
      <c r="C410" s="29"/>
      <c r="D410" s="85"/>
    </row>
    <row r="411" customFormat="false" ht="15.75" hidden="false" customHeight="false" outlineLevel="0" collapsed="false">
      <c r="B411" s="50"/>
      <c r="C411" s="29"/>
      <c r="D411" s="85"/>
    </row>
    <row r="412" customFormat="false" ht="15.75" hidden="false" customHeight="false" outlineLevel="0" collapsed="false">
      <c r="B412" s="50"/>
      <c r="C412" s="29"/>
      <c r="D412" s="85"/>
    </row>
    <row r="413" customFormat="false" ht="15.75" hidden="false" customHeight="false" outlineLevel="0" collapsed="false">
      <c r="B413" s="50"/>
      <c r="C413" s="29"/>
      <c r="D413" s="85"/>
    </row>
    <row r="414" customFormat="false" ht="15.75" hidden="false" customHeight="false" outlineLevel="0" collapsed="false">
      <c r="B414" s="50"/>
      <c r="C414" s="29"/>
      <c r="D414" s="85"/>
    </row>
    <row r="415" customFormat="false" ht="15.75" hidden="false" customHeight="false" outlineLevel="0" collapsed="false">
      <c r="B415" s="50"/>
      <c r="C415" s="29"/>
      <c r="D415" s="85"/>
    </row>
    <row r="416" customFormat="false" ht="15.75" hidden="false" customHeight="false" outlineLevel="0" collapsed="false">
      <c r="B416" s="50"/>
      <c r="C416" s="29"/>
      <c r="D416" s="85"/>
    </row>
    <row r="417" customFormat="false" ht="15.75" hidden="false" customHeight="false" outlineLevel="0" collapsed="false">
      <c r="B417" s="50"/>
      <c r="C417" s="29"/>
      <c r="D417" s="85"/>
    </row>
    <row r="418" customFormat="false" ht="15.75" hidden="false" customHeight="false" outlineLevel="0" collapsed="false">
      <c r="B418" s="50"/>
      <c r="C418" s="29"/>
      <c r="D418" s="85"/>
    </row>
    <row r="419" customFormat="false" ht="15.75" hidden="false" customHeight="false" outlineLevel="0" collapsed="false">
      <c r="B419" s="50"/>
      <c r="C419" s="29"/>
      <c r="D419" s="85"/>
    </row>
    <row r="420" customFormat="false" ht="15.75" hidden="false" customHeight="false" outlineLevel="0" collapsed="false">
      <c r="B420" s="50"/>
      <c r="C420" s="29"/>
      <c r="D420" s="85"/>
    </row>
    <row r="421" customFormat="false" ht="15.75" hidden="false" customHeight="false" outlineLevel="0" collapsed="false">
      <c r="B421" s="50"/>
      <c r="C421" s="29"/>
      <c r="D421" s="85"/>
    </row>
    <row r="422" customFormat="false" ht="15.75" hidden="false" customHeight="false" outlineLevel="0" collapsed="false">
      <c r="B422" s="50"/>
      <c r="C422" s="29"/>
      <c r="D422" s="85"/>
    </row>
    <row r="423" customFormat="false" ht="15.75" hidden="false" customHeight="false" outlineLevel="0" collapsed="false">
      <c r="B423" s="50"/>
      <c r="C423" s="29"/>
      <c r="D423" s="85"/>
    </row>
    <row r="424" customFormat="false" ht="15.75" hidden="false" customHeight="false" outlineLevel="0" collapsed="false">
      <c r="B424" s="50"/>
      <c r="C424" s="29"/>
      <c r="D424" s="85"/>
    </row>
    <row r="425" customFormat="false" ht="15.75" hidden="false" customHeight="false" outlineLevel="0" collapsed="false">
      <c r="B425" s="50"/>
      <c r="C425" s="29"/>
      <c r="D425" s="85"/>
    </row>
    <row r="426" customFormat="false" ht="15.75" hidden="false" customHeight="false" outlineLevel="0" collapsed="false">
      <c r="B426" s="50"/>
      <c r="C426" s="29"/>
      <c r="D426" s="85"/>
    </row>
    <row r="427" customFormat="false" ht="15.75" hidden="false" customHeight="false" outlineLevel="0" collapsed="false">
      <c r="B427" s="50"/>
      <c r="C427" s="29"/>
      <c r="D427" s="85"/>
    </row>
    <row r="428" customFormat="false" ht="15.75" hidden="false" customHeight="false" outlineLevel="0" collapsed="false">
      <c r="B428" s="50"/>
      <c r="C428" s="29"/>
      <c r="D428" s="85"/>
    </row>
    <row r="429" customFormat="false" ht="15.75" hidden="false" customHeight="false" outlineLevel="0" collapsed="false">
      <c r="B429" s="50"/>
      <c r="C429" s="29"/>
      <c r="D429" s="85"/>
    </row>
    <row r="430" customFormat="false" ht="15.75" hidden="false" customHeight="false" outlineLevel="0" collapsed="false">
      <c r="B430" s="50"/>
      <c r="C430" s="29"/>
      <c r="D430" s="85"/>
    </row>
    <row r="431" customFormat="false" ht="15.75" hidden="false" customHeight="false" outlineLevel="0" collapsed="false">
      <c r="B431" s="50"/>
      <c r="C431" s="29"/>
      <c r="D431" s="85"/>
    </row>
    <row r="432" customFormat="false" ht="15.75" hidden="false" customHeight="false" outlineLevel="0" collapsed="false">
      <c r="B432" s="50"/>
      <c r="C432" s="29"/>
      <c r="D432" s="85"/>
    </row>
    <row r="433" customFormat="false" ht="15.75" hidden="false" customHeight="false" outlineLevel="0" collapsed="false">
      <c r="B433" s="50"/>
      <c r="C433" s="29"/>
      <c r="D433" s="85"/>
    </row>
    <row r="434" customFormat="false" ht="15.75" hidden="false" customHeight="false" outlineLevel="0" collapsed="false">
      <c r="B434" s="50"/>
      <c r="C434" s="29"/>
      <c r="D434" s="85"/>
    </row>
    <row r="435" customFormat="false" ht="15.75" hidden="false" customHeight="false" outlineLevel="0" collapsed="false">
      <c r="B435" s="50"/>
      <c r="C435" s="29"/>
      <c r="D435" s="85"/>
    </row>
    <row r="436" customFormat="false" ht="15.75" hidden="false" customHeight="false" outlineLevel="0" collapsed="false">
      <c r="B436" s="50"/>
      <c r="C436" s="29"/>
      <c r="D436" s="85"/>
    </row>
    <row r="437" customFormat="false" ht="15.75" hidden="false" customHeight="false" outlineLevel="0" collapsed="false">
      <c r="B437" s="50"/>
      <c r="C437" s="29"/>
      <c r="D437" s="85"/>
    </row>
    <row r="438" customFormat="false" ht="15.75" hidden="false" customHeight="false" outlineLevel="0" collapsed="false">
      <c r="B438" s="50"/>
      <c r="C438" s="29"/>
      <c r="D438" s="85"/>
    </row>
    <row r="439" customFormat="false" ht="15.75" hidden="false" customHeight="false" outlineLevel="0" collapsed="false">
      <c r="B439" s="50"/>
      <c r="C439" s="29"/>
      <c r="D439" s="85"/>
    </row>
    <row r="440" customFormat="false" ht="15.75" hidden="false" customHeight="false" outlineLevel="0" collapsed="false">
      <c r="B440" s="50"/>
      <c r="C440" s="29"/>
      <c r="D440" s="85"/>
    </row>
    <row r="441" customFormat="false" ht="15.75" hidden="false" customHeight="false" outlineLevel="0" collapsed="false">
      <c r="B441" s="50"/>
      <c r="C441" s="29"/>
      <c r="D441" s="85"/>
    </row>
    <row r="442" customFormat="false" ht="15.75" hidden="false" customHeight="false" outlineLevel="0" collapsed="false">
      <c r="B442" s="50"/>
      <c r="C442" s="29"/>
      <c r="D442" s="85"/>
    </row>
    <row r="443" customFormat="false" ht="15.75" hidden="false" customHeight="false" outlineLevel="0" collapsed="false">
      <c r="B443" s="50"/>
      <c r="C443" s="29"/>
      <c r="D443" s="85"/>
    </row>
    <row r="444" customFormat="false" ht="15.75" hidden="false" customHeight="false" outlineLevel="0" collapsed="false">
      <c r="B444" s="50"/>
      <c r="C444" s="29"/>
      <c r="D444" s="85"/>
    </row>
    <row r="445" customFormat="false" ht="15.75" hidden="false" customHeight="false" outlineLevel="0" collapsed="false">
      <c r="B445" s="50"/>
      <c r="C445" s="29"/>
      <c r="D445" s="85"/>
    </row>
    <row r="446" customFormat="false" ht="15.75" hidden="false" customHeight="false" outlineLevel="0" collapsed="false">
      <c r="B446" s="50"/>
      <c r="C446" s="29"/>
      <c r="D446" s="85"/>
    </row>
    <row r="447" customFormat="false" ht="15.75" hidden="false" customHeight="false" outlineLevel="0" collapsed="false">
      <c r="B447" s="50"/>
      <c r="C447" s="29"/>
      <c r="D447" s="85"/>
    </row>
    <row r="448" customFormat="false" ht="15.75" hidden="false" customHeight="false" outlineLevel="0" collapsed="false">
      <c r="B448" s="50"/>
      <c r="C448" s="29"/>
      <c r="D448" s="85"/>
    </row>
    <row r="449" customFormat="false" ht="15.75" hidden="false" customHeight="false" outlineLevel="0" collapsed="false">
      <c r="B449" s="50"/>
      <c r="C449" s="29"/>
      <c r="D449" s="85"/>
    </row>
    <row r="450" customFormat="false" ht="15.75" hidden="false" customHeight="false" outlineLevel="0" collapsed="false">
      <c r="B450" s="50"/>
      <c r="C450" s="29"/>
      <c r="D450" s="85"/>
    </row>
    <row r="451" customFormat="false" ht="15.75" hidden="false" customHeight="false" outlineLevel="0" collapsed="false">
      <c r="B451" s="50"/>
      <c r="C451" s="29"/>
      <c r="D451" s="85"/>
    </row>
    <row r="452" customFormat="false" ht="15.75" hidden="false" customHeight="false" outlineLevel="0" collapsed="false">
      <c r="B452" s="50"/>
      <c r="C452" s="29"/>
      <c r="D452" s="85"/>
    </row>
    <row r="453" customFormat="false" ht="15.75" hidden="false" customHeight="false" outlineLevel="0" collapsed="false">
      <c r="B453" s="50"/>
      <c r="C453" s="29"/>
      <c r="D453" s="85"/>
    </row>
    <row r="454" customFormat="false" ht="15.75" hidden="false" customHeight="false" outlineLevel="0" collapsed="false">
      <c r="B454" s="50"/>
      <c r="C454" s="29"/>
      <c r="D454" s="85"/>
    </row>
    <row r="455" customFormat="false" ht="15.75" hidden="false" customHeight="false" outlineLevel="0" collapsed="false">
      <c r="B455" s="50"/>
      <c r="C455" s="29"/>
      <c r="D455" s="85"/>
    </row>
    <row r="456" customFormat="false" ht="15.75" hidden="false" customHeight="false" outlineLevel="0" collapsed="false">
      <c r="B456" s="50"/>
      <c r="C456" s="29"/>
      <c r="D456" s="85"/>
    </row>
    <row r="457" customFormat="false" ht="15.75" hidden="false" customHeight="false" outlineLevel="0" collapsed="false">
      <c r="B457" s="50"/>
      <c r="C457" s="29"/>
      <c r="D457" s="85"/>
    </row>
    <row r="458" customFormat="false" ht="15.75" hidden="false" customHeight="false" outlineLevel="0" collapsed="false">
      <c r="B458" s="50"/>
      <c r="C458" s="29"/>
      <c r="D458" s="85"/>
    </row>
    <row r="459" customFormat="false" ht="15.75" hidden="false" customHeight="false" outlineLevel="0" collapsed="false">
      <c r="B459" s="50"/>
      <c r="C459" s="29"/>
      <c r="D459" s="85"/>
    </row>
    <row r="460" customFormat="false" ht="15.75" hidden="false" customHeight="false" outlineLevel="0" collapsed="false">
      <c r="B460" s="50"/>
      <c r="C460" s="29"/>
      <c r="D460" s="85"/>
    </row>
    <row r="461" customFormat="false" ht="15.75" hidden="false" customHeight="false" outlineLevel="0" collapsed="false">
      <c r="B461" s="50"/>
      <c r="C461" s="29"/>
      <c r="D461" s="85"/>
    </row>
    <row r="462" customFormat="false" ht="15.75" hidden="false" customHeight="false" outlineLevel="0" collapsed="false">
      <c r="B462" s="50"/>
      <c r="C462" s="29"/>
      <c r="D462" s="85"/>
    </row>
    <row r="463" customFormat="false" ht="15.75" hidden="false" customHeight="false" outlineLevel="0" collapsed="false">
      <c r="B463" s="50"/>
      <c r="C463" s="29"/>
      <c r="D463" s="85"/>
    </row>
    <row r="464" customFormat="false" ht="15.75" hidden="false" customHeight="false" outlineLevel="0" collapsed="false">
      <c r="B464" s="50"/>
      <c r="C464" s="29"/>
      <c r="D464" s="85"/>
    </row>
    <row r="465" customFormat="false" ht="15.75" hidden="false" customHeight="false" outlineLevel="0" collapsed="false">
      <c r="B465" s="50"/>
      <c r="C465" s="29"/>
      <c r="D465" s="85"/>
    </row>
    <row r="466" customFormat="false" ht="15.75" hidden="false" customHeight="false" outlineLevel="0" collapsed="false">
      <c r="B466" s="50"/>
      <c r="C466" s="29"/>
      <c r="D466" s="85"/>
    </row>
    <row r="467" customFormat="false" ht="15.75" hidden="false" customHeight="false" outlineLevel="0" collapsed="false">
      <c r="B467" s="50"/>
      <c r="C467" s="29"/>
      <c r="D467" s="85"/>
    </row>
    <row r="468" customFormat="false" ht="15.75" hidden="false" customHeight="false" outlineLevel="0" collapsed="false">
      <c r="B468" s="50"/>
      <c r="C468" s="29"/>
      <c r="D468" s="85"/>
    </row>
    <row r="469" customFormat="false" ht="15.75" hidden="false" customHeight="false" outlineLevel="0" collapsed="false">
      <c r="B469" s="50"/>
      <c r="C469" s="29"/>
      <c r="D469" s="85"/>
    </row>
    <row r="470" customFormat="false" ht="15.75" hidden="false" customHeight="false" outlineLevel="0" collapsed="false">
      <c r="B470" s="50"/>
      <c r="C470" s="29"/>
      <c r="D470" s="85"/>
    </row>
    <row r="471" customFormat="false" ht="15.75" hidden="false" customHeight="false" outlineLevel="0" collapsed="false">
      <c r="B471" s="50"/>
      <c r="C471" s="29"/>
      <c r="D471" s="85"/>
    </row>
    <row r="472" customFormat="false" ht="15.75" hidden="false" customHeight="false" outlineLevel="0" collapsed="false">
      <c r="B472" s="50"/>
      <c r="C472" s="29"/>
      <c r="D472" s="85"/>
    </row>
    <row r="473" customFormat="false" ht="15.75" hidden="false" customHeight="false" outlineLevel="0" collapsed="false">
      <c r="B473" s="50"/>
      <c r="C473" s="29"/>
      <c r="D473" s="85"/>
    </row>
    <row r="474" customFormat="false" ht="15.75" hidden="false" customHeight="false" outlineLevel="0" collapsed="false">
      <c r="B474" s="50"/>
      <c r="C474" s="29"/>
      <c r="D474" s="85"/>
    </row>
    <row r="475" customFormat="false" ht="15.75" hidden="false" customHeight="false" outlineLevel="0" collapsed="false">
      <c r="B475" s="50"/>
      <c r="C475" s="29"/>
      <c r="D475" s="85"/>
    </row>
    <row r="476" customFormat="false" ht="15.75" hidden="false" customHeight="false" outlineLevel="0" collapsed="false">
      <c r="B476" s="50"/>
      <c r="C476" s="29"/>
      <c r="D476" s="85"/>
    </row>
    <row r="477" customFormat="false" ht="15.75" hidden="false" customHeight="false" outlineLevel="0" collapsed="false">
      <c r="B477" s="50"/>
      <c r="C477" s="29"/>
      <c r="D477" s="85"/>
    </row>
    <row r="478" customFormat="false" ht="15.75" hidden="false" customHeight="false" outlineLevel="0" collapsed="false">
      <c r="B478" s="50"/>
      <c r="C478" s="29"/>
      <c r="D478" s="85"/>
    </row>
    <row r="479" customFormat="false" ht="15.75" hidden="false" customHeight="false" outlineLevel="0" collapsed="false">
      <c r="B479" s="50"/>
      <c r="C479" s="29"/>
      <c r="D479" s="85"/>
    </row>
    <row r="480" customFormat="false" ht="15.75" hidden="false" customHeight="false" outlineLevel="0" collapsed="false">
      <c r="B480" s="50"/>
      <c r="C480" s="29"/>
      <c r="D480" s="85"/>
    </row>
    <row r="481" customFormat="false" ht="15.75" hidden="false" customHeight="false" outlineLevel="0" collapsed="false">
      <c r="B481" s="50"/>
      <c r="C481" s="29"/>
      <c r="D481" s="85"/>
    </row>
    <row r="482" customFormat="false" ht="15.75" hidden="false" customHeight="false" outlineLevel="0" collapsed="false">
      <c r="B482" s="50"/>
      <c r="C482" s="29"/>
      <c r="D482" s="85"/>
    </row>
    <row r="483" customFormat="false" ht="15.75" hidden="false" customHeight="false" outlineLevel="0" collapsed="false">
      <c r="B483" s="50"/>
      <c r="C483" s="29"/>
      <c r="D483" s="85"/>
    </row>
    <row r="484" customFormat="false" ht="15.75" hidden="false" customHeight="false" outlineLevel="0" collapsed="false">
      <c r="B484" s="50"/>
      <c r="C484" s="29"/>
      <c r="D484" s="85"/>
    </row>
    <row r="485" customFormat="false" ht="15.75" hidden="false" customHeight="false" outlineLevel="0" collapsed="false">
      <c r="B485" s="50"/>
      <c r="C485" s="29"/>
      <c r="D485" s="85"/>
    </row>
    <row r="486" customFormat="false" ht="15.75" hidden="false" customHeight="false" outlineLevel="0" collapsed="false">
      <c r="B486" s="50"/>
      <c r="C486" s="29"/>
      <c r="D486" s="85"/>
    </row>
    <row r="487" customFormat="false" ht="15.75" hidden="false" customHeight="false" outlineLevel="0" collapsed="false">
      <c r="B487" s="50"/>
      <c r="C487" s="29"/>
      <c r="D487" s="85"/>
    </row>
    <row r="488" customFormat="false" ht="15.75" hidden="false" customHeight="false" outlineLevel="0" collapsed="false">
      <c r="B488" s="50"/>
      <c r="C488" s="29"/>
      <c r="D488" s="85"/>
    </row>
    <row r="489" customFormat="false" ht="15.75" hidden="false" customHeight="false" outlineLevel="0" collapsed="false">
      <c r="B489" s="50"/>
      <c r="C489" s="29"/>
      <c r="D489" s="85"/>
    </row>
    <row r="490" customFormat="false" ht="15.75" hidden="false" customHeight="false" outlineLevel="0" collapsed="false">
      <c r="B490" s="50"/>
      <c r="C490" s="29"/>
      <c r="D490" s="85"/>
    </row>
    <row r="491" customFormat="false" ht="15.75" hidden="false" customHeight="false" outlineLevel="0" collapsed="false">
      <c r="B491" s="50"/>
      <c r="C491" s="29"/>
      <c r="D491" s="85"/>
    </row>
    <row r="492" customFormat="false" ht="15.75" hidden="false" customHeight="false" outlineLevel="0" collapsed="false">
      <c r="B492" s="50"/>
      <c r="C492" s="29"/>
      <c r="D492" s="85"/>
    </row>
    <row r="493" customFormat="false" ht="15.75" hidden="false" customHeight="false" outlineLevel="0" collapsed="false">
      <c r="B493" s="50"/>
      <c r="C493" s="29"/>
      <c r="D493" s="85"/>
    </row>
    <row r="494" customFormat="false" ht="15.75" hidden="false" customHeight="false" outlineLevel="0" collapsed="false">
      <c r="B494" s="50"/>
      <c r="C494" s="29"/>
      <c r="D494" s="85"/>
    </row>
    <row r="495" customFormat="false" ht="15.75" hidden="false" customHeight="false" outlineLevel="0" collapsed="false">
      <c r="B495" s="50"/>
      <c r="C495" s="29"/>
      <c r="D495" s="85"/>
    </row>
    <row r="496" customFormat="false" ht="15.75" hidden="false" customHeight="false" outlineLevel="0" collapsed="false">
      <c r="B496" s="50"/>
      <c r="C496" s="29"/>
      <c r="D496" s="85"/>
    </row>
    <row r="497" customFormat="false" ht="15.75" hidden="false" customHeight="false" outlineLevel="0" collapsed="false">
      <c r="B497" s="50"/>
      <c r="C497" s="29"/>
      <c r="D497" s="85"/>
    </row>
    <row r="498" customFormat="false" ht="15.75" hidden="false" customHeight="false" outlineLevel="0" collapsed="false">
      <c r="B498" s="50"/>
      <c r="C498" s="29"/>
      <c r="D498" s="85"/>
    </row>
    <row r="499" customFormat="false" ht="15.75" hidden="false" customHeight="false" outlineLevel="0" collapsed="false">
      <c r="B499" s="50"/>
      <c r="C499" s="29"/>
      <c r="D499" s="85"/>
    </row>
    <row r="500" customFormat="false" ht="15.75" hidden="false" customHeight="false" outlineLevel="0" collapsed="false">
      <c r="B500" s="50"/>
      <c r="C500" s="29"/>
      <c r="D500" s="85"/>
    </row>
    <row r="501" customFormat="false" ht="15.75" hidden="false" customHeight="false" outlineLevel="0" collapsed="false">
      <c r="B501" s="50"/>
      <c r="C501" s="29"/>
      <c r="D501" s="85"/>
    </row>
    <row r="502" customFormat="false" ht="15.75" hidden="false" customHeight="false" outlineLevel="0" collapsed="false">
      <c r="B502" s="50"/>
      <c r="C502" s="29"/>
      <c r="D502" s="85"/>
    </row>
    <row r="503" customFormat="false" ht="15.75" hidden="false" customHeight="false" outlineLevel="0" collapsed="false">
      <c r="B503" s="50"/>
      <c r="C503" s="29"/>
      <c r="D503" s="85"/>
    </row>
    <row r="504" customFormat="false" ht="15.75" hidden="false" customHeight="false" outlineLevel="0" collapsed="false">
      <c r="B504" s="50"/>
      <c r="C504" s="29"/>
      <c r="D504" s="85"/>
    </row>
    <row r="505" customFormat="false" ht="15.75" hidden="false" customHeight="false" outlineLevel="0" collapsed="false">
      <c r="B505" s="50"/>
      <c r="C505" s="29"/>
      <c r="D505" s="85"/>
    </row>
    <row r="506" customFormat="false" ht="15.75" hidden="false" customHeight="false" outlineLevel="0" collapsed="false">
      <c r="B506" s="50"/>
      <c r="C506" s="29"/>
      <c r="D506" s="85"/>
    </row>
    <row r="507" customFormat="false" ht="15.75" hidden="false" customHeight="false" outlineLevel="0" collapsed="false">
      <c r="B507" s="50"/>
      <c r="C507" s="29"/>
      <c r="D507" s="85"/>
    </row>
    <row r="508" customFormat="false" ht="15.75" hidden="false" customHeight="false" outlineLevel="0" collapsed="false">
      <c r="B508" s="50"/>
      <c r="C508" s="29"/>
      <c r="D508" s="85"/>
    </row>
    <row r="509" customFormat="false" ht="15.75" hidden="false" customHeight="false" outlineLevel="0" collapsed="false">
      <c r="B509" s="50"/>
      <c r="C509" s="29"/>
      <c r="D509" s="85"/>
    </row>
    <row r="510" customFormat="false" ht="15.75" hidden="false" customHeight="false" outlineLevel="0" collapsed="false">
      <c r="B510" s="50"/>
      <c r="C510" s="29"/>
      <c r="D510" s="85"/>
    </row>
    <row r="511" customFormat="false" ht="15.75" hidden="false" customHeight="false" outlineLevel="0" collapsed="false">
      <c r="B511" s="50"/>
      <c r="C511" s="29"/>
      <c r="D511" s="85"/>
    </row>
    <row r="512" customFormat="false" ht="15.75" hidden="false" customHeight="false" outlineLevel="0" collapsed="false">
      <c r="B512" s="50"/>
      <c r="C512" s="29"/>
      <c r="D512" s="85"/>
    </row>
    <row r="513" customFormat="false" ht="15.75" hidden="false" customHeight="false" outlineLevel="0" collapsed="false">
      <c r="B513" s="50"/>
      <c r="C513" s="29"/>
      <c r="D513" s="85"/>
    </row>
    <row r="514" customFormat="false" ht="15.75" hidden="false" customHeight="false" outlineLevel="0" collapsed="false">
      <c r="B514" s="50"/>
      <c r="C514" s="29"/>
      <c r="D514" s="85"/>
    </row>
    <row r="515" customFormat="false" ht="15.75" hidden="false" customHeight="false" outlineLevel="0" collapsed="false">
      <c r="B515" s="50"/>
      <c r="C515" s="29"/>
      <c r="D515" s="85"/>
    </row>
    <row r="516" customFormat="false" ht="15.75" hidden="false" customHeight="false" outlineLevel="0" collapsed="false">
      <c r="B516" s="50"/>
      <c r="C516" s="29"/>
      <c r="D516" s="85"/>
    </row>
    <row r="517" customFormat="false" ht="15.75" hidden="false" customHeight="false" outlineLevel="0" collapsed="false">
      <c r="B517" s="50"/>
      <c r="C517" s="29"/>
      <c r="D517" s="85"/>
    </row>
    <row r="518" customFormat="false" ht="15.75" hidden="false" customHeight="false" outlineLevel="0" collapsed="false">
      <c r="B518" s="50"/>
      <c r="C518" s="29"/>
      <c r="D518" s="85"/>
    </row>
    <row r="519" customFormat="false" ht="15.75" hidden="false" customHeight="false" outlineLevel="0" collapsed="false">
      <c r="B519" s="50"/>
      <c r="C519" s="29"/>
      <c r="D519" s="85"/>
    </row>
    <row r="520" customFormat="false" ht="15.75" hidden="false" customHeight="false" outlineLevel="0" collapsed="false">
      <c r="B520" s="50"/>
      <c r="C520" s="29"/>
      <c r="D520" s="85"/>
    </row>
    <row r="521" customFormat="false" ht="15.75" hidden="false" customHeight="false" outlineLevel="0" collapsed="false">
      <c r="B521" s="50"/>
      <c r="C521" s="29"/>
      <c r="D521" s="85"/>
    </row>
    <row r="522" customFormat="false" ht="15.75" hidden="false" customHeight="false" outlineLevel="0" collapsed="false">
      <c r="B522" s="50"/>
      <c r="C522" s="29"/>
      <c r="D522" s="85"/>
    </row>
    <row r="523" customFormat="false" ht="15.75" hidden="false" customHeight="false" outlineLevel="0" collapsed="false">
      <c r="B523" s="50"/>
      <c r="C523" s="29"/>
      <c r="D523" s="85"/>
    </row>
    <row r="524" customFormat="false" ht="15.75" hidden="false" customHeight="false" outlineLevel="0" collapsed="false">
      <c r="B524" s="50"/>
      <c r="C524" s="29"/>
      <c r="D524" s="85"/>
    </row>
    <row r="525" customFormat="false" ht="15.75" hidden="false" customHeight="false" outlineLevel="0" collapsed="false">
      <c r="B525" s="50"/>
      <c r="C525" s="29"/>
      <c r="D525" s="85"/>
    </row>
    <row r="526" customFormat="false" ht="15.75" hidden="false" customHeight="false" outlineLevel="0" collapsed="false">
      <c r="B526" s="50"/>
      <c r="C526" s="29"/>
      <c r="D526" s="85"/>
    </row>
    <row r="527" customFormat="false" ht="15.75" hidden="false" customHeight="false" outlineLevel="0" collapsed="false">
      <c r="B527" s="50"/>
      <c r="C527" s="29"/>
      <c r="D527" s="85"/>
    </row>
    <row r="528" customFormat="false" ht="15.75" hidden="false" customHeight="false" outlineLevel="0" collapsed="false">
      <c r="B528" s="50"/>
      <c r="C528" s="29"/>
      <c r="D528" s="85"/>
    </row>
    <row r="529" customFormat="false" ht="15.75" hidden="false" customHeight="false" outlineLevel="0" collapsed="false">
      <c r="B529" s="50"/>
      <c r="C529" s="29"/>
      <c r="D529" s="85"/>
    </row>
    <row r="530" customFormat="false" ht="15.75" hidden="false" customHeight="false" outlineLevel="0" collapsed="false">
      <c r="B530" s="50"/>
      <c r="C530" s="29"/>
      <c r="D530" s="85"/>
    </row>
    <row r="531" customFormat="false" ht="15.75" hidden="false" customHeight="false" outlineLevel="0" collapsed="false">
      <c r="B531" s="50"/>
      <c r="C531" s="29"/>
      <c r="D531" s="85"/>
    </row>
    <row r="532" customFormat="false" ht="15.75" hidden="false" customHeight="false" outlineLevel="0" collapsed="false">
      <c r="B532" s="50"/>
      <c r="C532" s="29"/>
      <c r="D532" s="85"/>
    </row>
    <row r="533" customFormat="false" ht="15.75" hidden="false" customHeight="false" outlineLevel="0" collapsed="false">
      <c r="B533" s="50"/>
      <c r="C533" s="29"/>
      <c r="D533" s="85"/>
    </row>
    <row r="534" customFormat="false" ht="15.75" hidden="false" customHeight="false" outlineLevel="0" collapsed="false">
      <c r="B534" s="50"/>
      <c r="C534" s="29"/>
      <c r="D534" s="85"/>
    </row>
    <row r="535" customFormat="false" ht="15.75" hidden="false" customHeight="false" outlineLevel="0" collapsed="false">
      <c r="B535" s="50"/>
      <c r="C535" s="29"/>
      <c r="D535" s="85"/>
    </row>
    <row r="536" customFormat="false" ht="15.75" hidden="false" customHeight="false" outlineLevel="0" collapsed="false">
      <c r="B536" s="50"/>
      <c r="C536" s="29"/>
      <c r="D536" s="85"/>
    </row>
    <row r="537" customFormat="false" ht="15.75" hidden="false" customHeight="false" outlineLevel="0" collapsed="false">
      <c r="B537" s="50"/>
      <c r="C537" s="29"/>
      <c r="D537" s="85"/>
    </row>
    <row r="538" customFormat="false" ht="15.75" hidden="false" customHeight="false" outlineLevel="0" collapsed="false">
      <c r="B538" s="50"/>
      <c r="C538" s="29"/>
      <c r="D538" s="85"/>
    </row>
    <row r="539" customFormat="false" ht="15.75" hidden="false" customHeight="false" outlineLevel="0" collapsed="false">
      <c r="B539" s="50"/>
      <c r="C539" s="29"/>
      <c r="D539" s="85"/>
    </row>
    <row r="540" customFormat="false" ht="15.75" hidden="false" customHeight="false" outlineLevel="0" collapsed="false">
      <c r="B540" s="50"/>
      <c r="C540" s="29"/>
      <c r="D540" s="85"/>
    </row>
    <row r="541" customFormat="false" ht="15.75" hidden="false" customHeight="false" outlineLevel="0" collapsed="false">
      <c r="B541" s="50"/>
      <c r="C541" s="29"/>
      <c r="D541" s="85"/>
    </row>
    <row r="542" customFormat="false" ht="15.75" hidden="false" customHeight="false" outlineLevel="0" collapsed="false">
      <c r="B542" s="50"/>
      <c r="C542" s="29"/>
      <c r="D542" s="85"/>
    </row>
    <row r="543" customFormat="false" ht="15.75" hidden="false" customHeight="false" outlineLevel="0" collapsed="false">
      <c r="B543" s="50"/>
      <c r="C543" s="29"/>
      <c r="D543" s="85"/>
    </row>
    <row r="544" customFormat="false" ht="15.75" hidden="false" customHeight="false" outlineLevel="0" collapsed="false">
      <c r="B544" s="50"/>
      <c r="C544" s="29"/>
      <c r="D544" s="85"/>
    </row>
    <row r="545" customFormat="false" ht="15.75" hidden="false" customHeight="false" outlineLevel="0" collapsed="false">
      <c r="B545" s="50"/>
      <c r="C545" s="29"/>
      <c r="D545" s="85"/>
    </row>
    <row r="546" customFormat="false" ht="15.75" hidden="false" customHeight="false" outlineLevel="0" collapsed="false">
      <c r="B546" s="50"/>
      <c r="C546" s="29"/>
      <c r="D546" s="85"/>
    </row>
    <row r="547" customFormat="false" ht="15.75" hidden="false" customHeight="false" outlineLevel="0" collapsed="false">
      <c r="B547" s="50"/>
      <c r="C547" s="29"/>
      <c r="D547" s="85"/>
    </row>
    <row r="548" customFormat="false" ht="15.75" hidden="false" customHeight="false" outlineLevel="0" collapsed="false">
      <c r="B548" s="50"/>
      <c r="C548" s="29"/>
      <c r="D548" s="85"/>
    </row>
    <row r="549" customFormat="false" ht="15.75" hidden="false" customHeight="false" outlineLevel="0" collapsed="false">
      <c r="B549" s="50"/>
      <c r="C549" s="29"/>
      <c r="D549" s="85"/>
    </row>
    <row r="550" customFormat="false" ht="15.75" hidden="false" customHeight="false" outlineLevel="0" collapsed="false">
      <c r="B550" s="50"/>
      <c r="C550" s="29"/>
      <c r="D550" s="85"/>
    </row>
    <row r="551" customFormat="false" ht="15.75" hidden="false" customHeight="false" outlineLevel="0" collapsed="false">
      <c r="B551" s="50"/>
      <c r="C551" s="29"/>
      <c r="D551" s="85"/>
    </row>
    <row r="552" customFormat="false" ht="15.75" hidden="false" customHeight="false" outlineLevel="0" collapsed="false">
      <c r="B552" s="50"/>
      <c r="C552" s="29"/>
      <c r="D552" s="85"/>
    </row>
    <row r="553" customFormat="false" ht="15.75" hidden="false" customHeight="false" outlineLevel="0" collapsed="false">
      <c r="B553" s="50"/>
      <c r="C553" s="29"/>
      <c r="D553" s="85"/>
    </row>
    <row r="554" customFormat="false" ht="15.75" hidden="false" customHeight="false" outlineLevel="0" collapsed="false">
      <c r="B554" s="50"/>
      <c r="C554" s="29"/>
      <c r="D554" s="85"/>
    </row>
    <row r="555" customFormat="false" ht="15.75" hidden="false" customHeight="false" outlineLevel="0" collapsed="false">
      <c r="B555" s="50"/>
      <c r="C555" s="29"/>
      <c r="D555" s="85"/>
    </row>
    <row r="556" customFormat="false" ht="15.75" hidden="false" customHeight="false" outlineLevel="0" collapsed="false">
      <c r="B556" s="50"/>
      <c r="C556" s="29"/>
      <c r="D556" s="85"/>
    </row>
    <row r="557" customFormat="false" ht="15.75" hidden="false" customHeight="false" outlineLevel="0" collapsed="false">
      <c r="B557" s="50"/>
      <c r="C557" s="29"/>
      <c r="D557" s="85"/>
    </row>
    <row r="558" customFormat="false" ht="15.75" hidden="false" customHeight="false" outlineLevel="0" collapsed="false">
      <c r="B558" s="50"/>
      <c r="C558" s="29"/>
      <c r="D558" s="85"/>
    </row>
    <row r="559" customFormat="false" ht="15.75" hidden="false" customHeight="false" outlineLevel="0" collapsed="false">
      <c r="B559" s="50"/>
      <c r="C559" s="29"/>
      <c r="D559" s="85"/>
    </row>
    <row r="560" customFormat="false" ht="15.75" hidden="false" customHeight="false" outlineLevel="0" collapsed="false">
      <c r="B560" s="50"/>
      <c r="C560" s="29"/>
      <c r="D560" s="85"/>
    </row>
    <row r="561" customFormat="false" ht="15.75" hidden="false" customHeight="false" outlineLevel="0" collapsed="false">
      <c r="B561" s="50"/>
      <c r="C561" s="29"/>
      <c r="D561" s="85"/>
    </row>
    <row r="562" customFormat="false" ht="15.75" hidden="false" customHeight="false" outlineLevel="0" collapsed="false">
      <c r="B562" s="50"/>
      <c r="C562" s="29"/>
      <c r="D562" s="85"/>
    </row>
    <row r="563" customFormat="false" ht="15.75" hidden="false" customHeight="false" outlineLevel="0" collapsed="false">
      <c r="B563" s="50"/>
      <c r="C563" s="29"/>
      <c r="D563" s="85"/>
    </row>
    <row r="564" customFormat="false" ht="15.75" hidden="false" customHeight="false" outlineLevel="0" collapsed="false">
      <c r="B564" s="50"/>
      <c r="C564" s="29"/>
      <c r="D564" s="85"/>
    </row>
    <row r="565" customFormat="false" ht="15.75" hidden="false" customHeight="false" outlineLevel="0" collapsed="false">
      <c r="B565" s="50"/>
      <c r="C565" s="29"/>
      <c r="D565" s="85"/>
    </row>
    <row r="566" customFormat="false" ht="15.75" hidden="false" customHeight="false" outlineLevel="0" collapsed="false">
      <c r="B566" s="50"/>
      <c r="C566" s="29"/>
      <c r="D566" s="85"/>
    </row>
    <row r="567" customFormat="false" ht="15.75" hidden="false" customHeight="false" outlineLevel="0" collapsed="false">
      <c r="B567" s="50"/>
      <c r="C567" s="29"/>
      <c r="D567" s="85"/>
    </row>
    <row r="568" customFormat="false" ht="15.75" hidden="false" customHeight="false" outlineLevel="0" collapsed="false">
      <c r="B568" s="50"/>
      <c r="C568" s="29"/>
      <c r="D568" s="85"/>
    </row>
    <row r="569" customFormat="false" ht="15.75" hidden="false" customHeight="false" outlineLevel="0" collapsed="false">
      <c r="B569" s="50"/>
      <c r="C569" s="29"/>
      <c r="D569" s="85"/>
    </row>
    <row r="570" customFormat="false" ht="15.75" hidden="false" customHeight="false" outlineLevel="0" collapsed="false">
      <c r="B570" s="50"/>
      <c r="C570" s="29"/>
      <c r="D570" s="85"/>
    </row>
    <row r="571" customFormat="false" ht="15.75" hidden="false" customHeight="false" outlineLevel="0" collapsed="false">
      <c r="B571" s="50"/>
      <c r="C571" s="29"/>
      <c r="D571" s="85"/>
    </row>
    <row r="572" customFormat="false" ht="15.75" hidden="false" customHeight="false" outlineLevel="0" collapsed="false">
      <c r="B572" s="50"/>
      <c r="C572" s="29"/>
      <c r="D572" s="85"/>
    </row>
    <row r="573" customFormat="false" ht="15.75" hidden="false" customHeight="false" outlineLevel="0" collapsed="false">
      <c r="B573" s="50"/>
      <c r="C573" s="29"/>
      <c r="D573" s="85"/>
    </row>
    <row r="574" customFormat="false" ht="15.75" hidden="false" customHeight="false" outlineLevel="0" collapsed="false">
      <c r="B574" s="50"/>
      <c r="C574" s="29"/>
      <c r="D574" s="85"/>
    </row>
    <row r="575" customFormat="false" ht="15.75" hidden="false" customHeight="false" outlineLevel="0" collapsed="false">
      <c r="B575" s="50"/>
      <c r="C575" s="29"/>
      <c r="D575" s="85"/>
    </row>
    <row r="576" customFormat="false" ht="15.75" hidden="false" customHeight="false" outlineLevel="0" collapsed="false">
      <c r="B576" s="50"/>
      <c r="C576" s="29"/>
      <c r="D576" s="85"/>
    </row>
    <row r="577" customFormat="false" ht="15.75" hidden="false" customHeight="false" outlineLevel="0" collapsed="false">
      <c r="B577" s="50"/>
      <c r="C577" s="29"/>
      <c r="D577" s="85"/>
    </row>
    <row r="578" customFormat="false" ht="15.75" hidden="false" customHeight="false" outlineLevel="0" collapsed="false">
      <c r="B578" s="50"/>
      <c r="C578" s="29"/>
      <c r="D578" s="85"/>
    </row>
    <row r="579" customFormat="false" ht="15.75" hidden="false" customHeight="false" outlineLevel="0" collapsed="false">
      <c r="B579" s="50"/>
      <c r="C579" s="29"/>
      <c r="D579" s="85"/>
    </row>
    <row r="580" customFormat="false" ht="15.75" hidden="false" customHeight="false" outlineLevel="0" collapsed="false">
      <c r="B580" s="50"/>
      <c r="C580" s="29"/>
      <c r="D580" s="85"/>
    </row>
    <row r="581" customFormat="false" ht="15.75" hidden="false" customHeight="false" outlineLevel="0" collapsed="false">
      <c r="B581" s="50"/>
      <c r="C581" s="29"/>
      <c r="D581" s="85"/>
    </row>
    <row r="582" customFormat="false" ht="15.75" hidden="false" customHeight="false" outlineLevel="0" collapsed="false">
      <c r="B582" s="50"/>
      <c r="C582" s="29"/>
      <c r="D582" s="85"/>
    </row>
    <row r="583" customFormat="false" ht="15.75" hidden="false" customHeight="false" outlineLevel="0" collapsed="false">
      <c r="B583" s="50"/>
      <c r="C583" s="29"/>
      <c r="D583" s="85"/>
    </row>
    <row r="584" customFormat="false" ht="15.75" hidden="false" customHeight="false" outlineLevel="0" collapsed="false">
      <c r="B584" s="50"/>
      <c r="C584" s="29"/>
      <c r="D584" s="85"/>
    </row>
    <row r="585" customFormat="false" ht="15.75" hidden="false" customHeight="false" outlineLevel="0" collapsed="false">
      <c r="B585" s="50"/>
      <c r="C585" s="29"/>
      <c r="D585" s="85"/>
    </row>
    <row r="586" customFormat="false" ht="15.75" hidden="false" customHeight="false" outlineLevel="0" collapsed="false">
      <c r="B586" s="50"/>
      <c r="C586" s="29"/>
      <c r="D586" s="85"/>
    </row>
    <row r="587" customFormat="false" ht="15.75" hidden="false" customHeight="false" outlineLevel="0" collapsed="false">
      <c r="B587" s="50"/>
      <c r="C587" s="29"/>
      <c r="D587" s="85"/>
    </row>
    <row r="588" customFormat="false" ht="15.75" hidden="false" customHeight="false" outlineLevel="0" collapsed="false">
      <c r="B588" s="50"/>
      <c r="C588" s="29"/>
      <c r="D588" s="85"/>
    </row>
    <row r="589" customFormat="false" ht="15.75" hidden="false" customHeight="false" outlineLevel="0" collapsed="false">
      <c r="B589" s="50"/>
      <c r="C589" s="29"/>
      <c r="D589" s="85"/>
    </row>
    <row r="590" customFormat="false" ht="15.75" hidden="false" customHeight="false" outlineLevel="0" collapsed="false">
      <c r="B590" s="50"/>
      <c r="C590" s="29"/>
      <c r="D590" s="85"/>
    </row>
    <row r="591" customFormat="false" ht="15.75" hidden="false" customHeight="false" outlineLevel="0" collapsed="false">
      <c r="B591" s="50"/>
      <c r="C591" s="29"/>
      <c r="D591" s="85"/>
    </row>
    <row r="592" customFormat="false" ht="15.75" hidden="false" customHeight="false" outlineLevel="0" collapsed="false">
      <c r="B592" s="50"/>
      <c r="C592" s="29"/>
      <c r="D592" s="85"/>
    </row>
    <row r="593" customFormat="false" ht="15.75" hidden="false" customHeight="false" outlineLevel="0" collapsed="false">
      <c r="B593" s="50"/>
      <c r="C593" s="29"/>
      <c r="D593" s="85"/>
    </row>
    <row r="594" customFormat="false" ht="15.75" hidden="false" customHeight="false" outlineLevel="0" collapsed="false">
      <c r="B594" s="50"/>
      <c r="C594" s="29"/>
      <c r="D594" s="85"/>
    </row>
    <row r="595" customFormat="false" ht="15.75" hidden="false" customHeight="false" outlineLevel="0" collapsed="false">
      <c r="B595" s="50"/>
      <c r="C595" s="29"/>
      <c r="D595" s="85"/>
    </row>
    <row r="596" customFormat="false" ht="15.75" hidden="false" customHeight="false" outlineLevel="0" collapsed="false">
      <c r="B596" s="50"/>
      <c r="C596" s="29"/>
      <c r="D596" s="85"/>
    </row>
    <row r="597" customFormat="false" ht="15.75" hidden="false" customHeight="false" outlineLevel="0" collapsed="false">
      <c r="B597" s="50"/>
      <c r="C597" s="29"/>
      <c r="D597" s="85"/>
    </row>
    <row r="598" customFormat="false" ht="15.75" hidden="false" customHeight="false" outlineLevel="0" collapsed="false">
      <c r="B598" s="50"/>
      <c r="C598" s="29"/>
      <c r="D598" s="85"/>
    </row>
    <row r="599" customFormat="false" ht="15.75" hidden="false" customHeight="false" outlineLevel="0" collapsed="false">
      <c r="B599" s="50"/>
      <c r="C599" s="29"/>
      <c r="D599" s="85"/>
    </row>
    <row r="600" customFormat="false" ht="15.75" hidden="false" customHeight="false" outlineLevel="0" collapsed="false">
      <c r="B600" s="50"/>
      <c r="C600" s="29"/>
      <c r="D600" s="85"/>
    </row>
    <row r="601" customFormat="false" ht="15.75" hidden="false" customHeight="false" outlineLevel="0" collapsed="false">
      <c r="B601" s="50"/>
      <c r="C601" s="29"/>
      <c r="D601" s="85"/>
    </row>
    <row r="602" customFormat="false" ht="15.75" hidden="false" customHeight="false" outlineLevel="0" collapsed="false">
      <c r="B602" s="50"/>
      <c r="C602" s="29"/>
      <c r="D602" s="85"/>
    </row>
    <row r="603" customFormat="false" ht="15.75" hidden="false" customHeight="false" outlineLevel="0" collapsed="false">
      <c r="B603" s="50"/>
      <c r="C603" s="29"/>
      <c r="D603" s="85"/>
    </row>
    <row r="604" customFormat="false" ht="15.75" hidden="false" customHeight="false" outlineLevel="0" collapsed="false">
      <c r="B604" s="50"/>
      <c r="C604" s="29"/>
      <c r="D604" s="85"/>
    </row>
    <row r="605" customFormat="false" ht="15.75" hidden="false" customHeight="false" outlineLevel="0" collapsed="false">
      <c r="B605" s="50"/>
      <c r="C605" s="29"/>
      <c r="D605" s="85"/>
    </row>
    <row r="606" customFormat="false" ht="15.75" hidden="false" customHeight="false" outlineLevel="0" collapsed="false">
      <c r="B606" s="50"/>
      <c r="C606" s="29"/>
      <c r="D606" s="85"/>
    </row>
    <row r="607" customFormat="false" ht="15.75" hidden="false" customHeight="false" outlineLevel="0" collapsed="false">
      <c r="B607" s="50"/>
      <c r="C607" s="29"/>
      <c r="D607" s="85"/>
    </row>
    <row r="608" customFormat="false" ht="15.75" hidden="false" customHeight="false" outlineLevel="0" collapsed="false">
      <c r="B608" s="50"/>
      <c r="C608" s="29"/>
      <c r="D608" s="85"/>
    </row>
    <row r="609" customFormat="false" ht="15.75" hidden="false" customHeight="false" outlineLevel="0" collapsed="false">
      <c r="B609" s="50"/>
      <c r="C609" s="29"/>
      <c r="D609" s="85"/>
    </row>
    <row r="610" customFormat="false" ht="15.75" hidden="false" customHeight="false" outlineLevel="0" collapsed="false">
      <c r="B610" s="50"/>
      <c r="C610" s="29"/>
      <c r="D610" s="85"/>
    </row>
    <row r="611" customFormat="false" ht="15.75" hidden="false" customHeight="false" outlineLevel="0" collapsed="false">
      <c r="B611" s="50"/>
      <c r="C611" s="29"/>
      <c r="D611" s="85"/>
    </row>
    <row r="612" customFormat="false" ht="15.75" hidden="false" customHeight="false" outlineLevel="0" collapsed="false">
      <c r="B612" s="50"/>
      <c r="C612" s="29"/>
      <c r="D612" s="85"/>
    </row>
    <row r="613" customFormat="false" ht="15.75" hidden="false" customHeight="false" outlineLevel="0" collapsed="false">
      <c r="B613" s="50"/>
      <c r="C613" s="29"/>
      <c r="D613" s="85"/>
    </row>
    <row r="614" customFormat="false" ht="15.75" hidden="false" customHeight="false" outlineLevel="0" collapsed="false">
      <c r="B614" s="50"/>
      <c r="C614" s="29"/>
      <c r="D614" s="85"/>
    </row>
    <row r="615" customFormat="false" ht="15.75" hidden="false" customHeight="false" outlineLevel="0" collapsed="false">
      <c r="B615" s="50"/>
      <c r="C615" s="29"/>
      <c r="D615" s="85"/>
    </row>
    <row r="616" customFormat="false" ht="15.75" hidden="false" customHeight="false" outlineLevel="0" collapsed="false">
      <c r="B616" s="50"/>
      <c r="C616" s="29"/>
      <c r="D616" s="85"/>
    </row>
    <row r="617" customFormat="false" ht="15.75" hidden="false" customHeight="false" outlineLevel="0" collapsed="false">
      <c r="B617" s="50"/>
      <c r="C617" s="29"/>
      <c r="D617" s="85"/>
    </row>
    <row r="618" customFormat="false" ht="15.75" hidden="false" customHeight="false" outlineLevel="0" collapsed="false">
      <c r="B618" s="50"/>
      <c r="C618" s="29"/>
      <c r="D618" s="85"/>
    </row>
    <row r="619" customFormat="false" ht="15.75" hidden="false" customHeight="false" outlineLevel="0" collapsed="false">
      <c r="B619" s="50"/>
      <c r="C619" s="29"/>
      <c r="D619" s="85"/>
    </row>
    <row r="620" customFormat="false" ht="15.75" hidden="false" customHeight="false" outlineLevel="0" collapsed="false">
      <c r="B620" s="50"/>
      <c r="C620" s="29"/>
      <c r="D620" s="85"/>
    </row>
    <row r="621" customFormat="false" ht="15.75" hidden="false" customHeight="false" outlineLevel="0" collapsed="false">
      <c r="B621" s="50"/>
      <c r="C621" s="29"/>
      <c r="D621" s="85"/>
    </row>
    <row r="622" customFormat="false" ht="15.75" hidden="false" customHeight="false" outlineLevel="0" collapsed="false">
      <c r="B622" s="50"/>
      <c r="C622" s="29"/>
      <c r="D622" s="85"/>
    </row>
    <row r="623" customFormat="false" ht="15.75" hidden="false" customHeight="false" outlineLevel="0" collapsed="false">
      <c r="B623" s="50"/>
      <c r="C623" s="29"/>
      <c r="D623" s="85"/>
    </row>
    <row r="624" customFormat="false" ht="15.75" hidden="false" customHeight="false" outlineLevel="0" collapsed="false">
      <c r="B624" s="50"/>
      <c r="C624" s="29"/>
      <c r="D624" s="85"/>
    </row>
    <row r="625" customFormat="false" ht="15.75" hidden="false" customHeight="false" outlineLevel="0" collapsed="false">
      <c r="B625" s="50"/>
      <c r="C625" s="29"/>
      <c r="D625" s="85"/>
    </row>
    <row r="626" customFormat="false" ht="15.75" hidden="false" customHeight="false" outlineLevel="0" collapsed="false">
      <c r="B626" s="50"/>
      <c r="C626" s="29"/>
      <c r="D626" s="85"/>
    </row>
    <row r="627" customFormat="false" ht="15.75" hidden="false" customHeight="false" outlineLevel="0" collapsed="false">
      <c r="B627" s="50"/>
      <c r="C627" s="29"/>
      <c r="D627" s="85"/>
    </row>
    <row r="628" customFormat="false" ht="15.75" hidden="false" customHeight="false" outlineLevel="0" collapsed="false">
      <c r="B628" s="50"/>
      <c r="C628" s="29"/>
      <c r="D628" s="85"/>
    </row>
    <row r="629" customFormat="false" ht="15.75" hidden="false" customHeight="false" outlineLevel="0" collapsed="false">
      <c r="B629" s="50"/>
      <c r="C629" s="29"/>
      <c r="D629" s="85"/>
    </row>
    <row r="630" customFormat="false" ht="15.75" hidden="false" customHeight="false" outlineLevel="0" collapsed="false">
      <c r="B630" s="50"/>
      <c r="C630" s="29"/>
      <c r="D630" s="85"/>
    </row>
    <row r="631" customFormat="false" ht="15.75" hidden="false" customHeight="false" outlineLevel="0" collapsed="false">
      <c r="B631" s="50"/>
      <c r="C631" s="29"/>
      <c r="D631" s="85"/>
    </row>
    <row r="632" customFormat="false" ht="15.75" hidden="false" customHeight="false" outlineLevel="0" collapsed="false">
      <c r="B632" s="50"/>
      <c r="C632" s="29"/>
      <c r="D632" s="85"/>
    </row>
    <row r="633" customFormat="false" ht="15.75" hidden="false" customHeight="false" outlineLevel="0" collapsed="false">
      <c r="B633" s="50"/>
      <c r="C633" s="29"/>
      <c r="D633" s="85"/>
    </row>
    <row r="634" customFormat="false" ht="15.75" hidden="false" customHeight="false" outlineLevel="0" collapsed="false">
      <c r="B634" s="50"/>
      <c r="C634" s="29"/>
      <c r="D634" s="85"/>
    </row>
    <row r="635" customFormat="false" ht="15.75" hidden="false" customHeight="false" outlineLevel="0" collapsed="false">
      <c r="B635" s="50"/>
      <c r="C635" s="29"/>
      <c r="D635" s="85"/>
    </row>
    <row r="636" customFormat="false" ht="15.75" hidden="false" customHeight="false" outlineLevel="0" collapsed="false">
      <c r="B636" s="50"/>
      <c r="C636" s="29"/>
      <c r="D636" s="85"/>
    </row>
    <row r="637" customFormat="false" ht="15.75" hidden="false" customHeight="false" outlineLevel="0" collapsed="false">
      <c r="B637" s="50"/>
      <c r="C637" s="29"/>
      <c r="D637" s="85"/>
    </row>
    <row r="638" customFormat="false" ht="15.75" hidden="false" customHeight="false" outlineLevel="0" collapsed="false">
      <c r="B638" s="50"/>
      <c r="C638" s="29"/>
      <c r="D638" s="85"/>
    </row>
    <row r="639" customFormat="false" ht="15.75" hidden="false" customHeight="false" outlineLevel="0" collapsed="false">
      <c r="B639" s="50"/>
      <c r="C639" s="29"/>
      <c r="D639" s="85"/>
    </row>
    <row r="640" customFormat="false" ht="15.75" hidden="false" customHeight="false" outlineLevel="0" collapsed="false">
      <c r="B640" s="50"/>
      <c r="C640" s="29"/>
      <c r="D640" s="85"/>
    </row>
    <row r="641" customFormat="false" ht="15.75" hidden="false" customHeight="false" outlineLevel="0" collapsed="false">
      <c r="B641" s="50"/>
      <c r="C641" s="29"/>
      <c r="D641" s="85"/>
    </row>
    <row r="642" customFormat="false" ht="15.75" hidden="false" customHeight="false" outlineLevel="0" collapsed="false">
      <c r="B642" s="50"/>
      <c r="C642" s="29"/>
      <c r="D642" s="85"/>
    </row>
    <row r="643" customFormat="false" ht="15.75" hidden="false" customHeight="false" outlineLevel="0" collapsed="false">
      <c r="B643" s="50"/>
      <c r="C643" s="29"/>
      <c r="D643" s="85"/>
    </row>
    <row r="644" customFormat="false" ht="15.75" hidden="false" customHeight="false" outlineLevel="0" collapsed="false">
      <c r="B644" s="50"/>
      <c r="C644" s="29"/>
      <c r="D644" s="85"/>
    </row>
    <row r="645" customFormat="false" ht="15.75" hidden="false" customHeight="false" outlineLevel="0" collapsed="false">
      <c r="B645" s="50"/>
      <c r="C645" s="29"/>
      <c r="D645" s="85"/>
    </row>
    <row r="646" customFormat="false" ht="15.75" hidden="false" customHeight="false" outlineLevel="0" collapsed="false">
      <c r="B646" s="50"/>
      <c r="C646" s="29"/>
      <c r="D646" s="85"/>
    </row>
    <row r="647" customFormat="false" ht="15.75" hidden="false" customHeight="false" outlineLevel="0" collapsed="false">
      <c r="B647" s="50"/>
      <c r="C647" s="29"/>
      <c r="D647" s="85"/>
    </row>
    <row r="648" customFormat="false" ht="15.75" hidden="false" customHeight="false" outlineLevel="0" collapsed="false">
      <c r="B648" s="50"/>
      <c r="C648" s="29"/>
      <c r="D648" s="85"/>
    </row>
    <row r="649" customFormat="false" ht="15.75" hidden="false" customHeight="false" outlineLevel="0" collapsed="false">
      <c r="B649" s="50"/>
      <c r="C649" s="29"/>
      <c r="D649" s="85"/>
    </row>
    <row r="650" customFormat="false" ht="15.75" hidden="false" customHeight="false" outlineLevel="0" collapsed="false">
      <c r="B650" s="50"/>
      <c r="C650" s="29"/>
      <c r="D650" s="85"/>
    </row>
    <row r="651" customFormat="false" ht="15.75" hidden="false" customHeight="false" outlineLevel="0" collapsed="false">
      <c r="B651" s="50"/>
      <c r="C651" s="29"/>
      <c r="D651" s="85"/>
    </row>
    <row r="652" customFormat="false" ht="15.75" hidden="false" customHeight="false" outlineLevel="0" collapsed="false">
      <c r="B652" s="50"/>
      <c r="C652" s="29"/>
      <c r="D652" s="85"/>
    </row>
    <row r="653" customFormat="false" ht="15.75" hidden="false" customHeight="false" outlineLevel="0" collapsed="false">
      <c r="B653" s="50"/>
      <c r="C653" s="29"/>
      <c r="D653" s="85"/>
    </row>
    <row r="654" customFormat="false" ht="15.75" hidden="false" customHeight="false" outlineLevel="0" collapsed="false">
      <c r="B654" s="50"/>
      <c r="C654" s="29"/>
      <c r="D654" s="85"/>
    </row>
    <row r="655" customFormat="false" ht="15.75" hidden="false" customHeight="false" outlineLevel="0" collapsed="false">
      <c r="B655" s="50"/>
      <c r="C655" s="29"/>
      <c r="D655" s="85"/>
    </row>
    <row r="656" customFormat="false" ht="15.75" hidden="false" customHeight="false" outlineLevel="0" collapsed="false">
      <c r="B656" s="50"/>
      <c r="C656" s="29"/>
      <c r="D656" s="85"/>
    </row>
    <row r="657" customFormat="false" ht="15.75" hidden="false" customHeight="false" outlineLevel="0" collapsed="false">
      <c r="B657" s="50"/>
      <c r="C657" s="29"/>
      <c r="D657" s="85"/>
    </row>
    <row r="658" customFormat="false" ht="15.75" hidden="false" customHeight="false" outlineLevel="0" collapsed="false">
      <c r="B658" s="50"/>
      <c r="C658" s="29"/>
      <c r="D658" s="85"/>
    </row>
    <row r="659" customFormat="false" ht="15.75" hidden="false" customHeight="false" outlineLevel="0" collapsed="false">
      <c r="B659" s="50"/>
      <c r="C659" s="29"/>
      <c r="D659" s="85"/>
    </row>
    <row r="660" customFormat="false" ht="15.75" hidden="false" customHeight="false" outlineLevel="0" collapsed="false">
      <c r="B660" s="50"/>
      <c r="C660" s="29"/>
      <c r="D660" s="85"/>
    </row>
    <row r="661" customFormat="false" ht="15.75" hidden="false" customHeight="false" outlineLevel="0" collapsed="false">
      <c r="B661" s="50"/>
      <c r="C661" s="29"/>
      <c r="D661" s="85"/>
    </row>
    <row r="662" customFormat="false" ht="15.75" hidden="false" customHeight="false" outlineLevel="0" collapsed="false">
      <c r="B662" s="50"/>
      <c r="C662" s="29"/>
      <c r="D662" s="85"/>
    </row>
    <row r="663" customFormat="false" ht="15.75" hidden="false" customHeight="false" outlineLevel="0" collapsed="false">
      <c r="B663" s="50"/>
      <c r="C663" s="29"/>
      <c r="D663" s="85"/>
    </row>
    <row r="664" customFormat="false" ht="15.75" hidden="false" customHeight="false" outlineLevel="0" collapsed="false">
      <c r="B664" s="50"/>
      <c r="C664" s="29"/>
      <c r="D664" s="85"/>
    </row>
    <row r="665" customFormat="false" ht="15.75" hidden="false" customHeight="false" outlineLevel="0" collapsed="false">
      <c r="B665" s="50"/>
      <c r="C665" s="29"/>
      <c r="D665" s="85"/>
    </row>
    <row r="666" customFormat="false" ht="15.75" hidden="false" customHeight="false" outlineLevel="0" collapsed="false">
      <c r="B666" s="50"/>
      <c r="C666" s="29"/>
      <c r="D666" s="85"/>
    </row>
    <row r="667" customFormat="false" ht="15.75" hidden="false" customHeight="false" outlineLevel="0" collapsed="false">
      <c r="B667" s="50"/>
      <c r="C667" s="29"/>
      <c r="D667" s="85"/>
    </row>
    <row r="668" customFormat="false" ht="15.75" hidden="false" customHeight="false" outlineLevel="0" collapsed="false">
      <c r="B668" s="50"/>
      <c r="C668" s="29"/>
      <c r="D668" s="85"/>
    </row>
    <row r="669" customFormat="false" ht="15.75" hidden="false" customHeight="false" outlineLevel="0" collapsed="false">
      <c r="B669" s="50"/>
      <c r="C669" s="29"/>
      <c r="D669" s="85"/>
    </row>
    <row r="670" customFormat="false" ht="15.75" hidden="false" customHeight="false" outlineLevel="0" collapsed="false">
      <c r="B670" s="50"/>
      <c r="C670" s="29"/>
      <c r="D670" s="85"/>
    </row>
    <row r="671" customFormat="false" ht="15.75" hidden="false" customHeight="false" outlineLevel="0" collapsed="false">
      <c r="B671" s="50"/>
      <c r="C671" s="29"/>
      <c r="D671" s="85"/>
    </row>
    <row r="672" customFormat="false" ht="15.75" hidden="false" customHeight="false" outlineLevel="0" collapsed="false">
      <c r="B672" s="50"/>
      <c r="C672" s="29"/>
      <c r="D672" s="85"/>
    </row>
    <row r="673" customFormat="false" ht="15.75" hidden="false" customHeight="false" outlineLevel="0" collapsed="false">
      <c r="B673" s="50"/>
      <c r="C673" s="29"/>
      <c r="D673" s="85"/>
    </row>
    <row r="674" customFormat="false" ht="15.75" hidden="false" customHeight="false" outlineLevel="0" collapsed="false">
      <c r="B674" s="50"/>
      <c r="C674" s="29"/>
      <c r="D674" s="85"/>
    </row>
    <row r="675" customFormat="false" ht="15.75" hidden="false" customHeight="false" outlineLevel="0" collapsed="false">
      <c r="B675" s="50"/>
      <c r="C675" s="29"/>
      <c r="D675" s="85"/>
    </row>
    <row r="676" customFormat="false" ht="15.75" hidden="false" customHeight="false" outlineLevel="0" collapsed="false">
      <c r="B676" s="50"/>
      <c r="C676" s="29"/>
      <c r="D676" s="85"/>
    </row>
    <row r="677" customFormat="false" ht="15.75" hidden="false" customHeight="false" outlineLevel="0" collapsed="false">
      <c r="B677" s="50"/>
      <c r="C677" s="29"/>
      <c r="D677" s="85"/>
    </row>
    <row r="678" customFormat="false" ht="15.75" hidden="false" customHeight="false" outlineLevel="0" collapsed="false">
      <c r="B678" s="50"/>
      <c r="C678" s="29"/>
      <c r="D678" s="85"/>
    </row>
    <row r="679" customFormat="false" ht="15.75" hidden="false" customHeight="false" outlineLevel="0" collapsed="false">
      <c r="B679" s="50"/>
      <c r="C679" s="29"/>
      <c r="D679" s="85"/>
    </row>
    <row r="680" customFormat="false" ht="15.75" hidden="false" customHeight="false" outlineLevel="0" collapsed="false">
      <c r="B680" s="50"/>
      <c r="C680" s="29"/>
      <c r="D680" s="85"/>
    </row>
    <row r="681" customFormat="false" ht="15.75" hidden="false" customHeight="false" outlineLevel="0" collapsed="false">
      <c r="B681" s="50"/>
      <c r="C681" s="29"/>
      <c r="D681" s="85"/>
    </row>
    <row r="682" customFormat="false" ht="15.75" hidden="false" customHeight="false" outlineLevel="0" collapsed="false">
      <c r="B682" s="50"/>
      <c r="C682" s="29"/>
      <c r="D682" s="85"/>
    </row>
    <row r="683" customFormat="false" ht="15.75" hidden="false" customHeight="false" outlineLevel="0" collapsed="false">
      <c r="B683" s="50"/>
      <c r="C683" s="29"/>
      <c r="D683" s="85"/>
    </row>
    <row r="684" customFormat="false" ht="15.75" hidden="false" customHeight="false" outlineLevel="0" collapsed="false">
      <c r="B684" s="50"/>
      <c r="C684" s="29"/>
      <c r="D684" s="85"/>
    </row>
    <row r="685" customFormat="false" ht="15.75" hidden="false" customHeight="false" outlineLevel="0" collapsed="false">
      <c r="B685" s="50"/>
      <c r="C685" s="29"/>
      <c r="D685" s="85"/>
    </row>
    <row r="686" customFormat="false" ht="15.75" hidden="false" customHeight="false" outlineLevel="0" collapsed="false">
      <c r="B686" s="50"/>
      <c r="C686" s="29"/>
      <c r="D686" s="85"/>
    </row>
    <row r="687" customFormat="false" ht="15.75" hidden="false" customHeight="false" outlineLevel="0" collapsed="false">
      <c r="B687" s="50"/>
      <c r="C687" s="29"/>
      <c r="D687" s="85"/>
    </row>
    <row r="688" customFormat="false" ht="15.75" hidden="false" customHeight="false" outlineLevel="0" collapsed="false">
      <c r="B688" s="50"/>
      <c r="C688" s="29"/>
      <c r="D688" s="85"/>
    </row>
    <row r="689" customFormat="false" ht="15.75" hidden="false" customHeight="false" outlineLevel="0" collapsed="false">
      <c r="B689" s="50"/>
      <c r="C689" s="29"/>
      <c r="D689" s="85"/>
    </row>
    <row r="690" customFormat="false" ht="15.75" hidden="false" customHeight="false" outlineLevel="0" collapsed="false">
      <c r="B690" s="50"/>
      <c r="C690" s="29"/>
      <c r="D690" s="85"/>
    </row>
    <row r="691" customFormat="false" ht="15.75" hidden="false" customHeight="false" outlineLevel="0" collapsed="false">
      <c r="B691" s="50"/>
      <c r="C691" s="29"/>
      <c r="D691" s="85"/>
    </row>
    <row r="692" customFormat="false" ht="15.75" hidden="false" customHeight="false" outlineLevel="0" collapsed="false">
      <c r="B692" s="50"/>
      <c r="C692" s="29"/>
      <c r="D692" s="85"/>
    </row>
    <row r="693" customFormat="false" ht="15.75" hidden="false" customHeight="false" outlineLevel="0" collapsed="false">
      <c r="B693" s="50"/>
      <c r="C693" s="29"/>
      <c r="D693" s="85"/>
    </row>
    <row r="694" customFormat="false" ht="15.75" hidden="false" customHeight="false" outlineLevel="0" collapsed="false">
      <c r="B694" s="50"/>
      <c r="C694" s="29"/>
      <c r="D694" s="85"/>
    </row>
    <row r="695" customFormat="false" ht="15.75" hidden="false" customHeight="false" outlineLevel="0" collapsed="false">
      <c r="B695" s="50"/>
      <c r="C695" s="29"/>
      <c r="D695" s="85"/>
    </row>
    <row r="696" customFormat="false" ht="15.75" hidden="false" customHeight="false" outlineLevel="0" collapsed="false">
      <c r="B696" s="50"/>
      <c r="C696" s="29"/>
      <c r="D696" s="85"/>
    </row>
    <row r="697" customFormat="false" ht="15.75" hidden="false" customHeight="false" outlineLevel="0" collapsed="false">
      <c r="B697" s="50"/>
      <c r="C697" s="29"/>
      <c r="D697" s="85"/>
    </row>
    <row r="698" customFormat="false" ht="15.75" hidden="false" customHeight="false" outlineLevel="0" collapsed="false">
      <c r="B698" s="50"/>
      <c r="C698" s="29"/>
      <c r="D698" s="85"/>
    </row>
    <row r="699" customFormat="false" ht="15.75" hidden="false" customHeight="false" outlineLevel="0" collapsed="false">
      <c r="B699" s="50"/>
      <c r="C699" s="29"/>
      <c r="D699" s="85"/>
    </row>
    <row r="700" customFormat="false" ht="15.75" hidden="false" customHeight="false" outlineLevel="0" collapsed="false">
      <c r="B700" s="50"/>
      <c r="C700" s="29"/>
      <c r="D700" s="85"/>
    </row>
    <row r="701" customFormat="false" ht="15.75" hidden="false" customHeight="false" outlineLevel="0" collapsed="false">
      <c r="B701" s="50"/>
      <c r="C701" s="29"/>
      <c r="D701" s="85"/>
    </row>
    <row r="702" customFormat="false" ht="15.75" hidden="false" customHeight="false" outlineLevel="0" collapsed="false">
      <c r="B702" s="50"/>
      <c r="C702" s="29"/>
      <c r="D702" s="85"/>
    </row>
    <row r="703" customFormat="false" ht="15.75" hidden="false" customHeight="false" outlineLevel="0" collapsed="false">
      <c r="B703" s="50"/>
      <c r="C703" s="29"/>
      <c r="D703" s="85"/>
    </row>
    <row r="704" customFormat="false" ht="15.75" hidden="false" customHeight="false" outlineLevel="0" collapsed="false">
      <c r="B704" s="50"/>
      <c r="C704" s="29"/>
      <c r="D704" s="85"/>
    </row>
    <row r="705" customFormat="false" ht="15.75" hidden="false" customHeight="false" outlineLevel="0" collapsed="false">
      <c r="B705" s="50"/>
      <c r="C705" s="29"/>
      <c r="D705" s="85"/>
    </row>
    <row r="706" customFormat="false" ht="15.75" hidden="false" customHeight="false" outlineLevel="0" collapsed="false">
      <c r="B706" s="50"/>
      <c r="C706" s="29"/>
      <c r="D706" s="85"/>
    </row>
    <row r="707" customFormat="false" ht="15.75" hidden="false" customHeight="false" outlineLevel="0" collapsed="false">
      <c r="B707" s="50"/>
      <c r="C707" s="29"/>
      <c r="D707" s="85"/>
    </row>
    <row r="708" customFormat="false" ht="15.75" hidden="false" customHeight="false" outlineLevel="0" collapsed="false">
      <c r="B708" s="50"/>
      <c r="C708" s="29"/>
      <c r="D708" s="85"/>
    </row>
    <row r="709" customFormat="false" ht="15.75" hidden="false" customHeight="false" outlineLevel="0" collapsed="false">
      <c r="B709" s="50"/>
      <c r="C709" s="29"/>
      <c r="D709" s="85"/>
    </row>
    <row r="710" customFormat="false" ht="15.75" hidden="false" customHeight="false" outlineLevel="0" collapsed="false">
      <c r="B710" s="50"/>
      <c r="C710" s="29"/>
      <c r="D710" s="85"/>
    </row>
    <row r="711" customFormat="false" ht="15.75" hidden="false" customHeight="false" outlineLevel="0" collapsed="false">
      <c r="B711" s="50"/>
      <c r="C711" s="29"/>
      <c r="D711" s="85"/>
    </row>
    <row r="712" customFormat="false" ht="15.75" hidden="false" customHeight="false" outlineLevel="0" collapsed="false">
      <c r="B712" s="50"/>
      <c r="C712" s="29"/>
      <c r="D712" s="85"/>
    </row>
    <row r="713" customFormat="false" ht="15.75" hidden="false" customHeight="false" outlineLevel="0" collapsed="false">
      <c r="B713" s="50"/>
      <c r="C713" s="29"/>
      <c r="D713" s="85"/>
    </row>
    <row r="714" customFormat="false" ht="15.75" hidden="false" customHeight="false" outlineLevel="0" collapsed="false">
      <c r="B714" s="50"/>
      <c r="C714" s="29"/>
      <c r="D714" s="85"/>
    </row>
    <row r="715" customFormat="false" ht="15.75" hidden="false" customHeight="false" outlineLevel="0" collapsed="false">
      <c r="B715" s="50"/>
      <c r="C715" s="29"/>
      <c r="D715" s="85"/>
    </row>
    <row r="716" customFormat="false" ht="15.75" hidden="false" customHeight="false" outlineLevel="0" collapsed="false">
      <c r="B716" s="50"/>
      <c r="C716" s="29"/>
      <c r="D716" s="85"/>
    </row>
    <row r="717" customFormat="false" ht="15.75" hidden="false" customHeight="false" outlineLevel="0" collapsed="false">
      <c r="B717" s="50"/>
      <c r="C717" s="29"/>
      <c r="D717" s="85"/>
    </row>
    <row r="718" customFormat="false" ht="15.75" hidden="false" customHeight="false" outlineLevel="0" collapsed="false">
      <c r="B718" s="50"/>
      <c r="C718" s="29"/>
      <c r="D718" s="85"/>
    </row>
    <row r="719" customFormat="false" ht="15.75" hidden="false" customHeight="false" outlineLevel="0" collapsed="false">
      <c r="B719" s="50"/>
      <c r="C719" s="29"/>
      <c r="D719" s="85"/>
    </row>
    <row r="720" customFormat="false" ht="15.75" hidden="false" customHeight="false" outlineLevel="0" collapsed="false">
      <c r="B720" s="50"/>
      <c r="C720" s="29"/>
      <c r="D720" s="85"/>
    </row>
    <row r="721" customFormat="false" ht="15.75" hidden="false" customHeight="false" outlineLevel="0" collapsed="false">
      <c r="B721" s="50"/>
      <c r="C721" s="29"/>
      <c r="D721" s="85"/>
    </row>
    <row r="722" customFormat="false" ht="15.75" hidden="false" customHeight="false" outlineLevel="0" collapsed="false">
      <c r="B722" s="50"/>
      <c r="C722" s="29"/>
      <c r="D722" s="85"/>
    </row>
    <row r="723" customFormat="false" ht="15.75" hidden="false" customHeight="false" outlineLevel="0" collapsed="false">
      <c r="B723" s="50"/>
      <c r="C723" s="29"/>
      <c r="D723" s="85"/>
    </row>
    <row r="724" customFormat="false" ht="15.75" hidden="false" customHeight="false" outlineLevel="0" collapsed="false">
      <c r="B724" s="50"/>
      <c r="C724" s="29"/>
      <c r="D724" s="85"/>
    </row>
    <row r="725" customFormat="false" ht="15.75" hidden="false" customHeight="false" outlineLevel="0" collapsed="false">
      <c r="B725" s="50"/>
      <c r="C725" s="29"/>
      <c r="D725" s="85"/>
    </row>
    <row r="726" customFormat="false" ht="15.75" hidden="false" customHeight="false" outlineLevel="0" collapsed="false">
      <c r="B726" s="50"/>
      <c r="C726" s="29"/>
      <c r="D726" s="85"/>
    </row>
    <row r="727" customFormat="false" ht="15.75" hidden="false" customHeight="false" outlineLevel="0" collapsed="false">
      <c r="B727" s="50"/>
      <c r="C727" s="29"/>
      <c r="D727" s="85"/>
    </row>
    <row r="728" customFormat="false" ht="15.75" hidden="false" customHeight="false" outlineLevel="0" collapsed="false">
      <c r="B728" s="50"/>
      <c r="C728" s="29"/>
      <c r="D728" s="85"/>
    </row>
    <row r="729" customFormat="false" ht="15.75" hidden="false" customHeight="false" outlineLevel="0" collapsed="false">
      <c r="B729" s="50"/>
      <c r="C729" s="29"/>
      <c r="D729" s="85"/>
    </row>
    <row r="730" customFormat="false" ht="15.75" hidden="false" customHeight="false" outlineLevel="0" collapsed="false">
      <c r="B730" s="50"/>
      <c r="C730" s="29"/>
      <c r="D730" s="85"/>
    </row>
    <row r="731" customFormat="false" ht="15.75" hidden="false" customHeight="false" outlineLevel="0" collapsed="false">
      <c r="B731" s="50"/>
      <c r="C731" s="29"/>
      <c r="D731" s="85"/>
    </row>
    <row r="732" customFormat="false" ht="15.75" hidden="false" customHeight="false" outlineLevel="0" collapsed="false">
      <c r="B732" s="50"/>
      <c r="C732" s="29"/>
      <c r="D732" s="85"/>
    </row>
    <row r="733" customFormat="false" ht="15.75" hidden="false" customHeight="false" outlineLevel="0" collapsed="false">
      <c r="B733" s="50"/>
      <c r="C733" s="29"/>
      <c r="D733" s="85"/>
    </row>
    <row r="734" customFormat="false" ht="15.75" hidden="false" customHeight="false" outlineLevel="0" collapsed="false">
      <c r="B734" s="50"/>
      <c r="C734" s="29"/>
      <c r="D734" s="85"/>
    </row>
    <row r="735" customFormat="false" ht="15.75" hidden="false" customHeight="false" outlineLevel="0" collapsed="false">
      <c r="B735" s="50"/>
      <c r="C735" s="29"/>
      <c r="D735" s="85"/>
    </row>
    <row r="736" customFormat="false" ht="15.75" hidden="false" customHeight="false" outlineLevel="0" collapsed="false">
      <c r="B736" s="50"/>
      <c r="C736" s="29"/>
      <c r="D736" s="85"/>
    </row>
    <row r="737" customFormat="false" ht="15.75" hidden="false" customHeight="false" outlineLevel="0" collapsed="false">
      <c r="B737" s="50"/>
      <c r="C737" s="29"/>
      <c r="D737" s="85"/>
    </row>
    <row r="738" customFormat="false" ht="15.75" hidden="false" customHeight="false" outlineLevel="0" collapsed="false">
      <c r="B738" s="50"/>
      <c r="C738" s="29"/>
      <c r="D738" s="85"/>
    </row>
    <row r="739" customFormat="false" ht="15.75" hidden="false" customHeight="false" outlineLevel="0" collapsed="false">
      <c r="B739" s="50"/>
      <c r="C739" s="29"/>
      <c r="D739" s="85"/>
    </row>
    <row r="740" customFormat="false" ht="15.75" hidden="false" customHeight="false" outlineLevel="0" collapsed="false">
      <c r="B740" s="50"/>
      <c r="C740" s="29"/>
      <c r="D740" s="85"/>
    </row>
    <row r="741" customFormat="false" ht="15.75" hidden="false" customHeight="false" outlineLevel="0" collapsed="false">
      <c r="B741" s="50"/>
      <c r="C741" s="29"/>
      <c r="D741" s="85"/>
    </row>
    <row r="742" customFormat="false" ht="15.75" hidden="false" customHeight="false" outlineLevel="0" collapsed="false">
      <c r="B742" s="50"/>
      <c r="C742" s="29"/>
      <c r="D742" s="85"/>
    </row>
    <row r="743" customFormat="false" ht="15.75" hidden="false" customHeight="false" outlineLevel="0" collapsed="false">
      <c r="B743" s="50"/>
      <c r="C743" s="29"/>
      <c r="D743" s="85"/>
    </row>
    <row r="744" customFormat="false" ht="15.75" hidden="false" customHeight="false" outlineLevel="0" collapsed="false">
      <c r="B744" s="50"/>
      <c r="C744" s="29"/>
      <c r="D744" s="85"/>
    </row>
    <row r="745" customFormat="false" ht="15.75" hidden="false" customHeight="false" outlineLevel="0" collapsed="false">
      <c r="B745" s="50"/>
      <c r="C745" s="29"/>
      <c r="D745" s="85"/>
    </row>
    <row r="746" customFormat="false" ht="15.75" hidden="false" customHeight="false" outlineLevel="0" collapsed="false">
      <c r="B746" s="50"/>
      <c r="C746" s="29"/>
      <c r="D746" s="85"/>
    </row>
    <row r="747" customFormat="false" ht="15.75" hidden="false" customHeight="false" outlineLevel="0" collapsed="false">
      <c r="B747" s="50"/>
      <c r="C747" s="29"/>
      <c r="D747" s="85"/>
    </row>
    <row r="748" customFormat="false" ht="15.75" hidden="false" customHeight="false" outlineLevel="0" collapsed="false">
      <c r="B748" s="50"/>
      <c r="C748" s="29"/>
      <c r="D748" s="85"/>
    </row>
    <row r="749" customFormat="false" ht="15.75" hidden="false" customHeight="false" outlineLevel="0" collapsed="false">
      <c r="B749" s="50"/>
      <c r="C749" s="29"/>
      <c r="D749" s="85"/>
    </row>
    <row r="750" customFormat="false" ht="15.75" hidden="false" customHeight="false" outlineLevel="0" collapsed="false">
      <c r="B750" s="50"/>
      <c r="C750" s="29"/>
      <c r="D750" s="85"/>
    </row>
    <row r="751" customFormat="false" ht="15.75" hidden="false" customHeight="false" outlineLevel="0" collapsed="false">
      <c r="B751" s="50"/>
      <c r="C751" s="29"/>
      <c r="D751" s="85"/>
    </row>
    <row r="752" customFormat="false" ht="15.75" hidden="false" customHeight="false" outlineLevel="0" collapsed="false">
      <c r="B752" s="50"/>
      <c r="C752" s="29"/>
      <c r="D752" s="85"/>
    </row>
    <row r="753" customFormat="false" ht="15.75" hidden="false" customHeight="false" outlineLevel="0" collapsed="false">
      <c r="B753" s="50"/>
      <c r="C753" s="29"/>
      <c r="D753" s="85"/>
    </row>
    <row r="754" customFormat="false" ht="15.75" hidden="false" customHeight="false" outlineLevel="0" collapsed="false">
      <c r="B754" s="50"/>
      <c r="C754" s="29"/>
      <c r="D754" s="85"/>
    </row>
    <row r="755" customFormat="false" ht="15.75" hidden="false" customHeight="false" outlineLevel="0" collapsed="false">
      <c r="B755" s="50"/>
      <c r="C755" s="29"/>
      <c r="D755" s="85"/>
    </row>
    <row r="756" customFormat="false" ht="15.75" hidden="false" customHeight="false" outlineLevel="0" collapsed="false">
      <c r="B756" s="50"/>
      <c r="C756" s="29"/>
      <c r="D756" s="85"/>
    </row>
    <row r="757" customFormat="false" ht="15.75" hidden="false" customHeight="false" outlineLevel="0" collapsed="false">
      <c r="B757" s="50"/>
      <c r="C757" s="29"/>
      <c r="D757" s="85"/>
    </row>
    <row r="758" customFormat="false" ht="15.75" hidden="false" customHeight="false" outlineLevel="0" collapsed="false">
      <c r="B758" s="50"/>
      <c r="C758" s="29"/>
      <c r="D758" s="85"/>
    </row>
    <row r="759" customFormat="false" ht="15.75" hidden="false" customHeight="false" outlineLevel="0" collapsed="false">
      <c r="B759" s="50"/>
      <c r="C759" s="29"/>
      <c r="D759" s="85"/>
    </row>
    <row r="760" customFormat="false" ht="15.75" hidden="false" customHeight="false" outlineLevel="0" collapsed="false">
      <c r="B760" s="50"/>
      <c r="C760" s="29"/>
      <c r="D760" s="85"/>
    </row>
    <row r="761" customFormat="false" ht="15.75" hidden="false" customHeight="false" outlineLevel="0" collapsed="false">
      <c r="B761" s="50"/>
      <c r="C761" s="29"/>
      <c r="D761" s="85"/>
    </row>
    <row r="762" customFormat="false" ht="15.75" hidden="false" customHeight="false" outlineLevel="0" collapsed="false">
      <c r="B762" s="50"/>
      <c r="C762" s="29"/>
      <c r="D762" s="85"/>
    </row>
    <row r="763" customFormat="false" ht="15.75" hidden="false" customHeight="false" outlineLevel="0" collapsed="false">
      <c r="B763" s="50"/>
      <c r="C763" s="29"/>
      <c r="D763" s="85"/>
    </row>
    <row r="764" customFormat="false" ht="15.75" hidden="false" customHeight="false" outlineLevel="0" collapsed="false">
      <c r="B764" s="50"/>
      <c r="C764" s="29"/>
      <c r="D764" s="85"/>
    </row>
    <row r="765" customFormat="false" ht="15.75" hidden="false" customHeight="false" outlineLevel="0" collapsed="false">
      <c r="B765" s="50"/>
      <c r="C765" s="29"/>
      <c r="D765" s="85"/>
    </row>
    <row r="766" customFormat="false" ht="15.75" hidden="false" customHeight="false" outlineLevel="0" collapsed="false">
      <c r="B766" s="50"/>
      <c r="C766" s="29"/>
      <c r="D766" s="85"/>
    </row>
    <row r="767" customFormat="false" ht="15.75" hidden="false" customHeight="false" outlineLevel="0" collapsed="false">
      <c r="B767" s="50"/>
      <c r="C767" s="29"/>
      <c r="D767" s="85"/>
    </row>
    <row r="768" customFormat="false" ht="15.75" hidden="false" customHeight="false" outlineLevel="0" collapsed="false">
      <c r="B768" s="50"/>
      <c r="C768" s="29"/>
      <c r="D768" s="85"/>
    </row>
    <row r="769" customFormat="false" ht="15.75" hidden="false" customHeight="false" outlineLevel="0" collapsed="false">
      <c r="B769" s="50"/>
      <c r="C769" s="29"/>
      <c r="D769" s="85"/>
    </row>
    <row r="770" customFormat="false" ht="15.75" hidden="false" customHeight="false" outlineLevel="0" collapsed="false">
      <c r="B770" s="50"/>
      <c r="C770" s="29"/>
      <c r="D770" s="85"/>
    </row>
    <row r="771" customFormat="false" ht="15.75" hidden="false" customHeight="false" outlineLevel="0" collapsed="false">
      <c r="B771" s="50"/>
      <c r="C771" s="29"/>
      <c r="D771" s="85"/>
    </row>
    <row r="772" customFormat="false" ht="15.75" hidden="false" customHeight="false" outlineLevel="0" collapsed="false">
      <c r="B772" s="50"/>
      <c r="C772" s="29"/>
      <c r="D772" s="85"/>
    </row>
    <row r="773" customFormat="false" ht="15.75" hidden="false" customHeight="false" outlineLevel="0" collapsed="false">
      <c r="B773" s="50"/>
      <c r="C773" s="29"/>
      <c r="D773" s="85"/>
    </row>
    <row r="774" customFormat="false" ht="15.75" hidden="false" customHeight="false" outlineLevel="0" collapsed="false">
      <c r="B774" s="50"/>
      <c r="C774" s="29"/>
      <c r="D774" s="85"/>
    </row>
    <row r="775" customFormat="false" ht="15.75" hidden="false" customHeight="false" outlineLevel="0" collapsed="false">
      <c r="B775" s="50"/>
      <c r="C775" s="29"/>
      <c r="D775" s="85"/>
    </row>
    <row r="776" customFormat="false" ht="15.75" hidden="false" customHeight="false" outlineLevel="0" collapsed="false">
      <c r="B776" s="50"/>
      <c r="C776" s="29"/>
      <c r="D776" s="85"/>
    </row>
    <row r="777" customFormat="false" ht="15.75" hidden="false" customHeight="false" outlineLevel="0" collapsed="false">
      <c r="B777" s="50"/>
      <c r="C777" s="29"/>
      <c r="D777" s="85"/>
    </row>
    <row r="778" customFormat="false" ht="15.75" hidden="false" customHeight="false" outlineLevel="0" collapsed="false">
      <c r="B778" s="50"/>
      <c r="C778" s="29"/>
      <c r="D778" s="85"/>
    </row>
    <row r="779" customFormat="false" ht="15.75" hidden="false" customHeight="false" outlineLevel="0" collapsed="false">
      <c r="B779" s="50"/>
      <c r="C779" s="29"/>
      <c r="D779" s="85"/>
    </row>
    <row r="780" customFormat="false" ht="15.75" hidden="false" customHeight="false" outlineLevel="0" collapsed="false">
      <c r="B780" s="50"/>
      <c r="C780" s="29"/>
      <c r="D780" s="85"/>
    </row>
    <row r="781" customFormat="false" ht="15.75" hidden="false" customHeight="false" outlineLevel="0" collapsed="false">
      <c r="B781" s="50"/>
      <c r="C781" s="29"/>
      <c r="D781" s="85"/>
    </row>
    <row r="782" customFormat="false" ht="15.75" hidden="false" customHeight="false" outlineLevel="0" collapsed="false">
      <c r="B782" s="50"/>
      <c r="C782" s="29"/>
      <c r="D782" s="85"/>
    </row>
    <row r="783" customFormat="false" ht="15.75" hidden="false" customHeight="false" outlineLevel="0" collapsed="false">
      <c r="B783" s="50"/>
      <c r="C783" s="29"/>
      <c r="D783" s="85"/>
    </row>
    <row r="784" customFormat="false" ht="15.75" hidden="false" customHeight="false" outlineLevel="0" collapsed="false">
      <c r="B784" s="50"/>
      <c r="C784" s="29"/>
      <c r="D784" s="85"/>
    </row>
    <row r="785" customFormat="false" ht="15.75" hidden="false" customHeight="false" outlineLevel="0" collapsed="false">
      <c r="B785" s="50"/>
      <c r="C785" s="29"/>
      <c r="D785" s="85"/>
    </row>
    <row r="786" customFormat="false" ht="15.75" hidden="false" customHeight="false" outlineLevel="0" collapsed="false">
      <c r="B786" s="50"/>
      <c r="C786" s="29"/>
      <c r="D786" s="85"/>
    </row>
    <row r="787" customFormat="false" ht="15.75" hidden="false" customHeight="false" outlineLevel="0" collapsed="false">
      <c r="B787" s="50"/>
      <c r="C787" s="29"/>
      <c r="D787" s="85"/>
    </row>
    <row r="788" customFormat="false" ht="15.75" hidden="false" customHeight="false" outlineLevel="0" collapsed="false">
      <c r="B788" s="50"/>
      <c r="C788" s="29"/>
      <c r="D788" s="85"/>
    </row>
    <row r="789" customFormat="false" ht="15.75" hidden="false" customHeight="false" outlineLevel="0" collapsed="false">
      <c r="B789" s="50"/>
      <c r="C789" s="29"/>
      <c r="D789" s="85"/>
    </row>
    <row r="790" customFormat="false" ht="15.75" hidden="false" customHeight="false" outlineLevel="0" collapsed="false">
      <c r="B790" s="50"/>
      <c r="C790" s="29"/>
      <c r="D790" s="85"/>
    </row>
    <row r="791" customFormat="false" ht="15.75" hidden="false" customHeight="false" outlineLevel="0" collapsed="false">
      <c r="B791" s="50"/>
      <c r="C791" s="29"/>
      <c r="D791" s="85"/>
    </row>
    <row r="792" customFormat="false" ht="15.75" hidden="false" customHeight="false" outlineLevel="0" collapsed="false">
      <c r="B792" s="50"/>
      <c r="C792" s="29"/>
      <c r="D792" s="85"/>
    </row>
    <row r="793" customFormat="false" ht="15.75" hidden="false" customHeight="false" outlineLevel="0" collapsed="false">
      <c r="B793" s="50"/>
      <c r="C793" s="29"/>
      <c r="D793" s="85"/>
    </row>
    <row r="794" customFormat="false" ht="15.75" hidden="false" customHeight="false" outlineLevel="0" collapsed="false">
      <c r="B794" s="50"/>
      <c r="C794" s="29"/>
      <c r="D794" s="85"/>
    </row>
    <row r="795" customFormat="false" ht="15.75" hidden="false" customHeight="false" outlineLevel="0" collapsed="false">
      <c r="B795" s="50"/>
      <c r="C795" s="29"/>
      <c r="D795" s="85"/>
    </row>
    <row r="796" customFormat="false" ht="15.75" hidden="false" customHeight="false" outlineLevel="0" collapsed="false">
      <c r="B796" s="50"/>
      <c r="C796" s="29"/>
      <c r="D796" s="85"/>
    </row>
    <row r="797" customFormat="false" ht="15.75" hidden="false" customHeight="false" outlineLevel="0" collapsed="false">
      <c r="B797" s="50"/>
      <c r="C797" s="29"/>
      <c r="D797" s="85"/>
    </row>
    <row r="798" customFormat="false" ht="15.75" hidden="false" customHeight="false" outlineLevel="0" collapsed="false">
      <c r="B798" s="50"/>
      <c r="C798" s="29"/>
      <c r="D798" s="85"/>
    </row>
    <row r="799" customFormat="false" ht="15.75" hidden="false" customHeight="false" outlineLevel="0" collapsed="false">
      <c r="B799" s="50"/>
      <c r="C799" s="29"/>
      <c r="D799" s="85"/>
    </row>
    <row r="800" customFormat="false" ht="15.75" hidden="false" customHeight="false" outlineLevel="0" collapsed="false">
      <c r="B800" s="50"/>
      <c r="C800" s="29"/>
      <c r="D800" s="85"/>
    </row>
    <row r="801" customFormat="false" ht="15.75" hidden="false" customHeight="false" outlineLevel="0" collapsed="false">
      <c r="B801" s="50"/>
      <c r="C801" s="29"/>
      <c r="D801" s="85"/>
    </row>
    <row r="802" customFormat="false" ht="15.75" hidden="false" customHeight="false" outlineLevel="0" collapsed="false">
      <c r="B802" s="50"/>
      <c r="C802" s="29"/>
      <c r="D802" s="85"/>
    </row>
    <row r="803" customFormat="false" ht="15.75" hidden="false" customHeight="false" outlineLevel="0" collapsed="false">
      <c r="B803" s="50"/>
      <c r="C803" s="29"/>
      <c r="D803" s="85"/>
    </row>
    <row r="804" customFormat="false" ht="15.75" hidden="false" customHeight="false" outlineLevel="0" collapsed="false">
      <c r="B804" s="50"/>
      <c r="C804" s="29"/>
      <c r="D804" s="85"/>
    </row>
    <row r="805" customFormat="false" ht="15.75" hidden="false" customHeight="false" outlineLevel="0" collapsed="false">
      <c r="B805" s="50"/>
      <c r="C805" s="29"/>
      <c r="D805" s="85"/>
    </row>
    <row r="806" customFormat="false" ht="15.75" hidden="false" customHeight="false" outlineLevel="0" collapsed="false">
      <c r="B806" s="50"/>
      <c r="C806" s="29"/>
      <c r="D806" s="85"/>
    </row>
    <row r="807" customFormat="false" ht="15.75" hidden="false" customHeight="false" outlineLevel="0" collapsed="false">
      <c r="B807" s="50"/>
      <c r="C807" s="29"/>
      <c r="D807" s="85"/>
    </row>
    <row r="808" customFormat="false" ht="15.75" hidden="false" customHeight="false" outlineLevel="0" collapsed="false">
      <c r="B808" s="50"/>
      <c r="C808" s="29"/>
      <c r="D808" s="85"/>
    </row>
    <row r="809" customFormat="false" ht="15.75" hidden="false" customHeight="false" outlineLevel="0" collapsed="false">
      <c r="B809" s="50"/>
      <c r="C809" s="29"/>
      <c r="D809" s="85"/>
    </row>
    <row r="810" customFormat="false" ht="15.75" hidden="false" customHeight="false" outlineLevel="0" collapsed="false">
      <c r="B810" s="50"/>
      <c r="C810" s="29"/>
      <c r="D810" s="85"/>
    </row>
    <row r="811" customFormat="false" ht="15.75" hidden="false" customHeight="false" outlineLevel="0" collapsed="false">
      <c r="B811" s="50"/>
      <c r="C811" s="29"/>
      <c r="D811" s="85"/>
    </row>
    <row r="812" customFormat="false" ht="15.75" hidden="false" customHeight="false" outlineLevel="0" collapsed="false">
      <c r="B812" s="50"/>
      <c r="C812" s="29"/>
      <c r="D812" s="85"/>
    </row>
    <row r="813" customFormat="false" ht="15.75" hidden="false" customHeight="false" outlineLevel="0" collapsed="false">
      <c r="B813" s="50"/>
      <c r="C813" s="29"/>
      <c r="D813" s="85"/>
    </row>
    <row r="814" customFormat="false" ht="15.75" hidden="false" customHeight="false" outlineLevel="0" collapsed="false">
      <c r="B814" s="50"/>
      <c r="C814" s="29"/>
      <c r="D814" s="85"/>
    </row>
    <row r="815" customFormat="false" ht="15.75" hidden="false" customHeight="false" outlineLevel="0" collapsed="false">
      <c r="B815" s="50"/>
      <c r="C815" s="29"/>
      <c r="D815" s="85"/>
    </row>
    <row r="816" customFormat="false" ht="15.75" hidden="false" customHeight="false" outlineLevel="0" collapsed="false">
      <c r="B816" s="50"/>
      <c r="C816" s="29"/>
      <c r="D816" s="85"/>
    </row>
    <row r="817" customFormat="false" ht="15.75" hidden="false" customHeight="false" outlineLevel="0" collapsed="false">
      <c r="B817" s="50"/>
      <c r="C817" s="29"/>
      <c r="D817" s="85"/>
    </row>
    <row r="818" customFormat="false" ht="15.75" hidden="false" customHeight="false" outlineLevel="0" collapsed="false">
      <c r="B818" s="50"/>
      <c r="C818" s="29"/>
      <c r="D818" s="85"/>
    </row>
    <row r="819" customFormat="false" ht="15.75" hidden="false" customHeight="false" outlineLevel="0" collapsed="false">
      <c r="B819" s="50"/>
      <c r="C819" s="29"/>
      <c r="D819" s="85"/>
    </row>
    <row r="820" customFormat="false" ht="15.75" hidden="false" customHeight="false" outlineLevel="0" collapsed="false">
      <c r="B820" s="50"/>
      <c r="C820" s="29"/>
      <c r="D820" s="85"/>
    </row>
    <row r="821" customFormat="false" ht="15.75" hidden="false" customHeight="false" outlineLevel="0" collapsed="false">
      <c r="B821" s="50"/>
      <c r="C821" s="29"/>
      <c r="D821" s="85"/>
    </row>
    <row r="822" customFormat="false" ht="15.75" hidden="false" customHeight="false" outlineLevel="0" collapsed="false">
      <c r="B822" s="50"/>
      <c r="C822" s="29"/>
      <c r="D822" s="85"/>
    </row>
    <row r="823" customFormat="false" ht="15.75" hidden="false" customHeight="false" outlineLevel="0" collapsed="false">
      <c r="B823" s="50"/>
      <c r="C823" s="29"/>
      <c r="D823" s="85"/>
    </row>
    <row r="824" customFormat="false" ht="15.75" hidden="false" customHeight="false" outlineLevel="0" collapsed="false">
      <c r="B824" s="50"/>
      <c r="C824" s="29"/>
      <c r="D824" s="85"/>
    </row>
    <row r="825" customFormat="false" ht="15.75" hidden="false" customHeight="false" outlineLevel="0" collapsed="false">
      <c r="B825" s="50"/>
      <c r="C825" s="29"/>
      <c r="D825" s="85"/>
    </row>
    <row r="826" customFormat="false" ht="15.75" hidden="false" customHeight="false" outlineLevel="0" collapsed="false">
      <c r="B826" s="50"/>
      <c r="C826" s="29"/>
      <c r="D826" s="85"/>
    </row>
    <row r="827" customFormat="false" ht="15.75" hidden="false" customHeight="false" outlineLevel="0" collapsed="false">
      <c r="B827" s="50"/>
      <c r="C827" s="29"/>
      <c r="D827" s="85"/>
    </row>
    <row r="828" customFormat="false" ht="15.75" hidden="false" customHeight="false" outlineLevel="0" collapsed="false">
      <c r="B828" s="50"/>
      <c r="C828" s="29"/>
      <c r="D828" s="85"/>
    </row>
    <row r="829" customFormat="false" ht="15.75" hidden="false" customHeight="false" outlineLevel="0" collapsed="false">
      <c r="B829" s="50"/>
      <c r="C829" s="29"/>
      <c r="D829" s="85"/>
    </row>
    <row r="830" customFormat="false" ht="15.75" hidden="false" customHeight="false" outlineLevel="0" collapsed="false">
      <c r="B830" s="50"/>
      <c r="C830" s="29"/>
      <c r="D830" s="85"/>
    </row>
    <row r="831" customFormat="false" ht="15.75" hidden="false" customHeight="false" outlineLevel="0" collapsed="false">
      <c r="B831" s="50"/>
      <c r="C831" s="29"/>
      <c r="D831" s="85"/>
    </row>
    <row r="832" customFormat="false" ht="15.75" hidden="false" customHeight="false" outlineLevel="0" collapsed="false">
      <c r="B832" s="50"/>
      <c r="C832" s="29"/>
      <c r="D832" s="85"/>
    </row>
    <row r="833" customFormat="false" ht="15.75" hidden="false" customHeight="false" outlineLevel="0" collapsed="false">
      <c r="B833" s="50"/>
      <c r="C833" s="29"/>
      <c r="D833" s="85"/>
    </row>
    <row r="834" customFormat="false" ht="15.75" hidden="false" customHeight="false" outlineLevel="0" collapsed="false">
      <c r="B834" s="50"/>
      <c r="C834" s="29"/>
      <c r="D834" s="85"/>
    </row>
    <row r="835" customFormat="false" ht="15.75" hidden="false" customHeight="false" outlineLevel="0" collapsed="false">
      <c r="B835" s="50"/>
      <c r="C835" s="29"/>
      <c r="D835" s="85"/>
    </row>
    <row r="836" customFormat="false" ht="15.75" hidden="false" customHeight="false" outlineLevel="0" collapsed="false">
      <c r="B836" s="50"/>
      <c r="C836" s="29"/>
      <c r="D836" s="85"/>
    </row>
    <row r="837" customFormat="false" ht="15.75" hidden="false" customHeight="false" outlineLevel="0" collapsed="false">
      <c r="B837" s="50"/>
      <c r="C837" s="29"/>
      <c r="D837" s="85"/>
    </row>
    <row r="838" customFormat="false" ht="15.75" hidden="false" customHeight="false" outlineLevel="0" collapsed="false">
      <c r="B838" s="50"/>
      <c r="C838" s="29"/>
      <c r="D838" s="85"/>
    </row>
    <row r="839" customFormat="false" ht="15.75" hidden="false" customHeight="false" outlineLevel="0" collapsed="false">
      <c r="B839" s="50"/>
      <c r="C839" s="29"/>
      <c r="D839" s="85"/>
    </row>
    <row r="840" customFormat="false" ht="15.75" hidden="false" customHeight="false" outlineLevel="0" collapsed="false">
      <c r="B840" s="50"/>
      <c r="C840" s="29"/>
      <c r="D840" s="85"/>
    </row>
    <row r="841" customFormat="false" ht="15.75" hidden="false" customHeight="false" outlineLevel="0" collapsed="false">
      <c r="B841" s="50"/>
      <c r="C841" s="29"/>
      <c r="D841" s="85"/>
    </row>
    <row r="842" customFormat="false" ht="15.75" hidden="false" customHeight="false" outlineLevel="0" collapsed="false">
      <c r="B842" s="50"/>
      <c r="C842" s="29"/>
      <c r="D842" s="85"/>
    </row>
    <row r="843" customFormat="false" ht="15.75" hidden="false" customHeight="false" outlineLevel="0" collapsed="false">
      <c r="B843" s="50"/>
      <c r="C843" s="29"/>
      <c r="D843" s="85"/>
    </row>
    <row r="844" customFormat="false" ht="15.75" hidden="false" customHeight="false" outlineLevel="0" collapsed="false">
      <c r="B844" s="50"/>
      <c r="C844" s="29"/>
      <c r="D844" s="85"/>
    </row>
    <row r="845" customFormat="false" ht="15.75" hidden="false" customHeight="false" outlineLevel="0" collapsed="false">
      <c r="B845" s="50"/>
      <c r="C845" s="29"/>
      <c r="D845" s="85"/>
    </row>
    <row r="846" customFormat="false" ht="15.75" hidden="false" customHeight="false" outlineLevel="0" collapsed="false">
      <c r="B846" s="50"/>
      <c r="C846" s="29"/>
      <c r="D846" s="85"/>
    </row>
    <row r="847" customFormat="false" ht="15.75" hidden="false" customHeight="false" outlineLevel="0" collapsed="false">
      <c r="B847" s="50"/>
      <c r="C847" s="29"/>
      <c r="D847" s="85"/>
    </row>
    <row r="848" customFormat="false" ht="15.75" hidden="false" customHeight="false" outlineLevel="0" collapsed="false">
      <c r="B848" s="50"/>
      <c r="C848" s="29"/>
      <c r="D848" s="85"/>
    </row>
    <row r="849" customFormat="false" ht="15.75" hidden="false" customHeight="false" outlineLevel="0" collapsed="false">
      <c r="B849" s="50"/>
      <c r="C849" s="29"/>
      <c r="D849" s="85"/>
    </row>
    <row r="850" customFormat="false" ht="15.75" hidden="false" customHeight="false" outlineLevel="0" collapsed="false">
      <c r="B850" s="50"/>
      <c r="C850" s="29"/>
      <c r="D850" s="85"/>
    </row>
    <row r="851" customFormat="false" ht="15.75" hidden="false" customHeight="false" outlineLevel="0" collapsed="false">
      <c r="B851" s="50"/>
      <c r="C851" s="29"/>
      <c r="D851" s="85"/>
    </row>
    <row r="852" customFormat="false" ht="15.75" hidden="false" customHeight="false" outlineLevel="0" collapsed="false">
      <c r="B852" s="50"/>
      <c r="C852" s="29"/>
      <c r="D852" s="85"/>
    </row>
    <row r="853" customFormat="false" ht="15.75" hidden="false" customHeight="false" outlineLevel="0" collapsed="false">
      <c r="B853" s="50"/>
      <c r="C853" s="29"/>
      <c r="D853" s="85"/>
    </row>
    <row r="854" customFormat="false" ht="15.75" hidden="false" customHeight="false" outlineLevel="0" collapsed="false">
      <c r="B854" s="50"/>
      <c r="C854" s="29"/>
      <c r="D854" s="85"/>
    </row>
    <row r="855" customFormat="false" ht="15.75" hidden="false" customHeight="false" outlineLevel="0" collapsed="false">
      <c r="B855" s="50"/>
      <c r="C855" s="29"/>
      <c r="D855" s="85"/>
    </row>
    <row r="856" customFormat="false" ht="15.75" hidden="false" customHeight="false" outlineLevel="0" collapsed="false">
      <c r="B856" s="50"/>
      <c r="C856" s="29"/>
      <c r="D856" s="85"/>
    </row>
    <row r="857" customFormat="false" ht="15.75" hidden="false" customHeight="false" outlineLevel="0" collapsed="false">
      <c r="B857" s="50"/>
      <c r="C857" s="29"/>
      <c r="D857" s="85"/>
    </row>
    <row r="858" customFormat="false" ht="15.75" hidden="false" customHeight="false" outlineLevel="0" collapsed="false">
      <c r="B858" s="50"/>
      <c r="C858" s="29"/>
      <c r="D858" s="85"/>
    </row>
    <row r="859" customFormat="false" ht="15.75" hidden="false" customHeight="false" outlineLevel="0" collapsed="false">
      <c r="B859" s="50"/>
      <c r="C859" s="29"/>
      <c r="D859" s="85"/>
    </row>
    <row r="860" customFormat="false" ht="15.75" hidden="false" customHeight="false" outlineLevel="0" collapsed="false">
      <c r="B860" s="50"/>
      <c r="C860" s="29"/>
      <c r="D860" s="85"/>
    </row>
    <row r="861" customFormat="false" ht="15.75" hidden="false" customHeight="false" outlineLevel="0" collapsed="false">
      <c r="B861" s="50"/>
      <c r="C861" s="29"/>
      <c r="D861" s="85"/>
    </row>
    <row r="862" customFormat="false" ht="15.75" hidden="false" customHeight="false" outlineLevel="0" collapsed="false">
      <c r="B862" s="50"/>
      <c r="C862" s="29"/>
      <c r="D862" s="85"/>
    </row>
    <row r="863" customFormat="false" ht="15.75" hidden="false" customHeight="false" outlineLevel="0" collapsed="false">
      <c r="B863" s="50"/>
      <c r="C863" s="29"/>
      <c r="D863" s="85"/>
    </row>
    <row r="864" customFormat="false" ht="15.75" hidden="false" customHeight="false" outlineLevel="0" collapsed="false">
      <c r="B864" s="50"/>
      <c r="C864" s="29"/>
      <c r="D864" s="85"/>
    </row>
    <row r="865" customFormat="false" ht="15.75" hidden="false" customHeight="false" outlineLevel="0" collapsed="false">
      <c r="B865" s="50"/>
      <c r="C865" s="29"/>
      <c r="D865" s="85"/>
    </row>
    <row r="866" customFormat="false" ht="15.75" hidden="false" customHeight="false" outlineLevel="0" collapsed="false">
      <c r="B866" s="50"/>
      <c r="C866" s="29"/>
      <c r="D866" s="85"/>
    </row>
    <row r="867" customFormat="false" ht="15.75" hidden="false" customHeight="false" outlineLevel="0" collapsed="false">
      <c r="B867" s="50"/>
      <c r="C867" s="29"/>
      <c r="D867" s="85"/>
    </row>
    <row r="868" customFormat="false" ht="15.75" hidden="false" customHeight="false" outlineLevel="0" collapsed="false">
      <c r="B868" s="50"/>
      <c r="C868" s="29"/>
      <c r="D868" s="85"/>
    </row>
    <row r="869" customFormat="false" ht="15.75" hidden="false" customHeight="false" outlineLevel="0" collapsed="false">
      <c r="B869" s="50"/>
      <c r="C869" s="29"/>
      <c r="D869" s="85"/>
    </row>
    <row r="870" customFormat="false" ht="15.75" hidden="false" customHeight="false" outlineLevel="0" collapsed="false">
      <c r="B870" s="50"/>
      <c r="C870" s="29"/>
      <c r="D870" s="85"/>
    </row>
    <row r="871" customFormat="false" ht="15.75" hidden="false" customHeight="false" outlineLevel="0" collapsed="false">
      <c r="B871" s="50"/>
      <c r="C871" s="29"/>
      <c r="D871" s="85"/>
    </row>
    <row r="872" customFormat="false" ht="15.75" hidden="false" customHeight="false" outlineLevel="0" collapsed="false">
      <c r="B872" s="50"/>
      <c r="C872" s="29"/>
      <c r="D872" s="85"/>
    </row>
    <row r="873" customFormat="false" ht="15.75" hidden="false" customHeight="false" outlineLevel="0" collapsed="false">
      <c r="B873" s="50"/>
      <c r="C873" s="29"/>
      <c r="D873" s="85"/>
    </row>
    <row r="874" customFormat="false" ht="15.75" hidden="false" customHeight="false" outlineLevel="0" collapsed="false">
      <c r="B874" s="50"/>
      <c r="C874" s="29"/>
      <c r="D874" s="85"/>
    </row>
    <row r="875" customFormat="false" ht="15.75" hidden="false" customHeight="false" outlineLevel="0" collapsed="false">
      <c r="B875" s="50"/>
      <c r="C875" s="29"/>
      <c r="D875" s="85"/>
    </row>
    <row r="876" customFormat="false" ht="15.75" hidden="false" customHeight="false" outlineLevel="0" collapsed="false">
      <c r="B876" s="50"/>
      <c r="C876" s="29"/>
      <c r="D876" s="85"/>
    </row>
    <row r="877" customFormat="false" ht="15.75" hidden="false" customHeight="false" outlineLevel="0" collapsed="false">
      <c r="B877" s="50"/>
      <c r="C877" s="29"/>
      <c r="D877" s="85"/>
    </row>
    <row r="878" customFormat="false" ht="15.75" hidden="false" customHeight="false" outlineLevel="0" collapsed="false">
      <c r="B878" s="50"/>
      <c r="C878" s="29"/>
      <c r="D878" s="85"/>
    </row>
    <row r="879" customFormat="false" ht="15.75" hidden="false" customHeight="false" outlineLevel="0" collapsed="false">
      <c r="B879" s="50"/>
      <c r="C879" s="29"/>
      <c r="D879" s="85"/>
    </row>
    <row r="880" customFormat="false" ht="15.75" hidden="false" customHeight="false" outlineLevel="0" collapsed="false">
      <c r="B880" s="50"/>
      <c r="C880" s="29"/>
      <c r="D880" s="85"/>
    </row>
    <row r="881" customFormat="false" ht="15.75" hidden="false" customHeight="false" outlineLevel="0" collapsed="false">
      <c r="B881" s="50"/>
      <c r="C881" s="29"/>
      <c r="D881" s="85"/>
    </row>
    <row r="882" customFormat="false" ht="15.75" hidden="false" customHeight="false" outlineLevel="0" collapsed="false">
      <c r="B882" s="50"/>
      <c r="C882" s="29"/>
      <c r="D882" s="85"/>
    </row>
    <row r="883" customFormat="false" ht="15.75" hidden="false" customHeight="false" outlineLevel="0" collapsed="false">
      <c r="B883" s="50"/>
      <c r="C883" s="29"/>
      <c r="D883" s="85"/>
    </row>
    <row r="884" customFormat="false" ht="15.75" hidden="false" customHeight="false" outlineLevel="0" collapsed="false">
      <c r="B884" s="50"/>
      <c r="C884" s="29"/>
      <c r="D884" s="85"/>
    </row>
    <row r="885" customFormat="false" ht="15.75" hidden="false" customHeight="false" outlineLevel="0" collapsed="false">
      <c r="B885" s="50"/>
      <c r="C885" s="29"/>
      <c r="D885" s="85"/>
    </row>
    <row r="886" customFormat="false" ht="15.75" hidden="false" customHeight="false" outlineLevel="0" collapsed="false">
      <c r="B886" s="50"/>
      <c r="C886" s="29"/>
      <c r="D886" s="85"/>
    </row>
    <row r="887" customFormat="false" ht="15.75" hidden="false" customHeight="false" outlineLevel="0" collapsed="false">
      <c r="B887" s="50"/>
      <c r="C887" s="29"/>
      <c r="D887" s="85"/>
    </row>
    <row r="888" customFormat="false" ht="15.75" hidden="false" customHeight="false" outlineLevel="0" collapsed="false">
      <c r="B888" s="50"/>
      <c r="C888" s="29"/>
      <c r="D888" s="85"/>
    </row>
    <row r="889" customFormat="false" ht="15.75" hidden="false" customHeight="false" outlineLevel="0" collapsed="false">
      <c r="B889" s="50"/>
      <c r="C889" s="29"/>
      <c r="D889" s="85"/>
    </row>
    <row r="890" customFormat="false" ht="15.75" hidden="false" customHeight="false" outlineLevel="0" collapsed="false">
      <c r="B890" s="50"/>
      <c r="C890" s="29"/>
      <c r="D890" s="85"/>
    </row>
    <row r="891" customFormat="false" ht="15.75" hidden="false" customHeight="false" outlineLevel="0" collapsed="false">
      <c r="B891" s="50"/>
      <c r="C891" s="29"/>
      <c r="D891" s="85"/>
    </row>
    <row r="892" customFormat="false" ht="15.75" hidden="false" customHeight="false" outlineLevel="0" collapsed="false">
      <c r="B892" s="50"/>
      <c r="C892" s="29"/>
      <c r="D892" s="85"/>
    </row>
    <row r="893" customFormat="false" ht="15.75" hidden="false" customHeight="false" outlineLevel="0" collapsed="false">
      <c r="B893" s="50"/>
      <c r="C893" s="29"/>
      <c r="D893" s="85"/>
    </row>
    <row r="894" customFormat="false" ht="15.75" hidden="false" customHeight="false" outlineLevel="0" collapsed="false">
      <c r="B894" s="50"/>
      <c r="C894" s="29"/>
      <c r="D894" s="85"/>
    </row>
    <row r="895" customFormat="false" ht="15.75" hidden="false" customHeight="false" outlineLevel="0" collapsed="false">
      <c r="B895" s="50"/>
      <c r="C895" s="29"/>
      <c r="D895" s="85"/>
    </row>
    <row r="896" customFormat="false" ht="15.75" hidden="false" customHeight="false" outlineLevel="0" collapsed="false">
      <c r="B896" s="50"/>
      <c r="C896" s="29"/>
      <c r="D896" s="85"/>
    </row>
    <row r="897" customFormat="false" ht="15.75" hidden="false" customHeight="false" outlineLevel="0" collapsed="false">
      <c r="B897" s="50"/>
      <c r="C897" s="29"/>
      <c r="D897" s="85"/>
    </row>
    <row r="898" customFormat="false" ht="15.75" hidden="false" customHeight="false" outlineLevel="0" collapsed="false">
      <c r="B898" s="50"/>
      <c r="C898" s="29"/>
      <c r="D898" s="85"/>
    </row>
    <row r="899" customFormat="false" ht="15.75" hidden="false" customHeight="false" outlineLevel="0" collapsed="false">
      <c r="B899" s="50"/>
      <c r="C899" s="29"/>
      <c r="D899" s="85"/>
    </row>
    <row r="900" customFormat="false" ht="15.75" hidden="false" customHeight="false" outlineLevel="0" collapsed="false">
      <c r="B900" s="50"/>
      <c r="C900" s="29"/>
      <c r="D900" s="85"/>
    </row>
    <row r="901" customFormat="false" ht="15.75" hidden="false" customHeight="false" outlineLevel="0" collapsed="false">
      <c r="B901" s="50"/>
      <c r="C901" s="29"/>
      <c r="D901" s="85"/>
    </row>
    <row r="902" customFormat="false" ht="15.75" hidden="false" customHeight="false" outlineLevel="0" collapsed="false">
      <c r="B902" s="50"/>
      <c r="C902" s="29"/>
      <c r="D902" s="85"/>
    </row>
    <row r="903" customFormat="false" ht="15.75" hidden="false" customHeight="false" outlineLevel="0" collapsed="false">
      <c r="B903" s="50"/>
      <c r="C903" s="29"/>
      <c r="D903" s="85"/>
    </row>
    <row r="904" customFormat="false" ht="15.75" hidden="false" customHeight="false" outlineLevel="0" collapsed="false">
      <c r="B904" s="50"/>
      <c r="C904" s="29"/>
      <c r="D904" s="85"/>
    </row>
    <row r="905" customFormat="false" ht="15.75" hidden="false" customHeight="false" outlineLevel="0" collapsed="false">
      <c r="B905" s="50"/>
      <c r="C905" s="29"/>
      <c r="D905" s="85"/>
    </row>
    <row r="906" customFormat="false" ht="15.75" hidden="false" customHeight="false" outlineLevel="0" collapsed="false">
      <c r="B906" s="50"/>
      <c r="C906" s="29"/>
      <c r="D906" s="85"/>
    </row>
    <row r="907" customFormat="false" ht="15.75" hidden="false" customHeight="false" outlineLevel="0" collapsed="false">
      <c r="B907" s="50"/>
      <c r="C907" s="29"/>
      <c r="D907" s="85"/>
    </row>
    <row r="908" customFormat="false" ht="15.75" hidden="false" customHeight="false" outlineLevel="0" collapsed="false">
      <c r="B908" s="50"/>
      <c r="C908" s="29"/>
      <c r="D908" s="85"/>
    </row>
    <row r="909" customFormat="false" ht="15.75" hidden="false" customHeight="false" outlineLevel="0" collapsed="false">
      <c r="B909" s="50"/>
      <c r="C909" s="29"/>
      <c r="D909" s="85"/>
    </row>
    <row r="910" customFormat="false" ht="15.75" hidden="false" customHeight="false" outlineLevel="0" collapsed="false">
      <c r="B910" s="50"/>
      <c r="C910" s="29"/>
      <c r="D910" s="85"/>
    </row>
    <row r="911" customFormat="false" ht="15.75" hidden="false" customHeight="false" outlineLevel="0" collapsed="false">
      <c r="B911" s="50"/>
      <c r="C911" s="29"/>
      <c r="D911" s="85"/>
    </row>
    <row r="912" customFormat="false" ht="15.75" hidden="false" customHeight="false" outlineLevel="0" collapsed="false">
      <c r="B912" s="50"/>
      <c r="C912" s="29"/>
      <c r="D912" s="85"/>
    </row>
    <row r="913" customFormat="false" ht="15.75" hidden="false" customHeight="false" outlineLevel="0" collapsed="false">
      <c r="B913" s="50"/>
      <c r="C913" s="29"/>
      <c r="D913" s="85"/>
    </row>
    <row r="914" customFormat="false" ht="15.75" hidden="false" customHeight="false" outlineLevel="0" collapsed="false">
      <c r="B914" s="50"/>
      <c r="C914" s="29"/>
      <c r="D914" s="85"/>
    </row>
    <row r="915" customFormat="false" ht="15.75" hidden="false" customHeight="false" outlineLevel="0" collapsed="false">
      <c r="B915" s="50"/>
      <c r="C915" s="29"/>
      <c r="D915" s="85"/>
    </row>
    <row r="916" customFormat="false" ht="15.75" hidden="false" customHeight="false" outlineLevel="0" collapsed="false">
      <c r="B916" s="50"/>
      <c r="C916" s="29"/>
      <c r="D916" s="85"/>
    </row>
    <row r="917" customFormat="false" ht="15.75" hidden="false" customHeight="false" outlineLevel="0" collapsed="false">
      <c r="B917" s="50"/>
      <c r="C917" s="29"/>
      <c r="D917" s="85"/>
    </row>
    <row r="918" customFormat="false" ht="15.75" hidden="false" customHeight="false" outlineLevel="0" collapsed="false">
      <c r="B918" s="50"/>
      <c r="C918" s="29"/>
      <c r="D918" s="85"/>
    </row>
    <row r="919" customFormat="false" ht="15.75" hidden="false" customHeight="false" outlineLevel="0" collapsed="false">
      <c r="B919" s="50"/>
      <c r="C919" s="29"/>
      <c r="D919" s="85"/>
    </row>
    <row r="920" customFormat="false" ht="15.75" hidden="false" customHeight="false" outlineLevel="0" collapsed="false">
      <c r="B920" s="50"/>
      <c r="C920" s="29"/>
      <c r="D920" s="85"/>
    </row>
    <row r="921" customFormat="false" ht="15.75" hidden="false" customHeight="false" outlineLevel="0" collapsed="false">
      <c r="B921" s="50"/>
      <c r="C921" s="29"/>
      <c r="D921" s="85"/>
    </row>
    <row r="922" customFormat="false" ht="15.75" hidden="false" customHeight="false" outlineLevel="0" collapsed="false">
      <c r="B922" s="50"/>
      <c r="C922" s="29"/>
      <c r="D922" s="85"/>
    </row>
    <row r="923" customFormat="false" ht="15.75" hidden="false" customHeight="false" outlineLevel="0" collapsed="false">
      <c r="B923" s="50"/>
      <c r="C923" s="29"/>
      <c r="D923" s="85"/>
    </row>
    <row r="924" customFormat="false" ht="15.75" hidden="false" customHeight="false" outlineLevel="0" collapsed="false">
      <c r="B924" s="50"/>
      <c r="C924" s="29"/>
      <c r="D924" s="85"/>
    </row>
    <row r="925" customFormat="false" ht="15.75" hidden="false" customHeight="false" outlineLevel="0" collapsed="false">
      <c r="B925" s="50"/>
      <c r="C925" s="29"/>
      <c r="D925" s="85"/>
    </row>
    <row r="926" customFormat="false" ht="15.75" hidden="false" customHeight="false" outlineLevel="0" collapsed="false">
      <c r="B926" s="50"/>
      <c r="C926" s="29"/>
      <c r="D926" s="85"/>
    </row>
    <row r="927" customFormat="false" ht="15.75" hidden="false" customHeight="false" outlineLevel="0" collapsed="false">
      <c r="B927" s="50"/>
      <c r="C927" s="29"/>
      <c r="D927" s="85"/>
    </row>
    <row r="928" customFormat="false" ht="15.75" hidden="false" customHeight="false" outlineLevel="0" collapsed="false">
      <c r="B928" s="50"/>
      <c r="C928" s="29"/>
      <c r="D928" s="85"/>
    </row>
    <row r="929" customFormat="false" ht="15.75" hidden="false" customHeight="false" outlineLevel="0" collapsed="false">
      <c r="B929" s="50"/>
      <c r="C929" s="29"/>
      <c r="D929" s="85"/>
    </row>
    <row r="930" customFormat="false" ht="15.75" hidden="false" customHeight="false" outlineLevel="0" collapsed="false">
      <c r="B930" s="50"/>
      <c r="C930" s="29"/>
      <c r="D930" s="85"/>
    </row>
    <row r="931" customFormat="false" ht="15.75" hidden="false" customHeight="false" outlineLevel="0" collapsed="false">
      <c r="B931" s="50"/>
      <c r="C931" s="29"/>
      <c r="D931" s="85"/>
    </row>
    <row r="932" customFormat="false" ht="15.75" hidden="false" customHeight="false" outlineLevel="0" collapsed="false">
      <c r="B932" s="50"/>
      <c r="C932" s="29"/>
      <c r="D932" s="85"/>
    </row>
    <row r="933" customFormat="false" ht="15.75" hidden="false" customHeight="false" outlineLevel="0" collapsed="false">
      <c r="B933" s="50"/>
      <c r="C933" s="29"/>
      <c r="D933" s="85"/>
    </row>
    <row r="934" customFormat="false" ht="15.75" hidden="false" customHeight="false" outlineLevel="0" collapsed="false">
      <c r="B934" s="50"/>
      <c r="C934" s="29"/>
      <c r="D934" s="85"/>
    </row>
    <row r="935" customFormat="false" ht="15.75" hidden="false" customHeight="false" outlineLevel="0" collapsed="false">
      <c r="B935" s="50"/>
      <c r="C935" s="29"/>
      <c r="D935" s="85"/>
    </row>
    <row r="936" customFormat="false" ht="15.75" hidden="false" customHeight="false" outlineLevel="0" collapsed="false">
      <c r="B936" s="50"/>
      <c r="C936" s="29"/>
      <c r="D936" s="85"/>
    </row>
    <row r="937" customFormat="false" ht="15.75" hidden="false" customHeight="false" outlineLevel="0" collapsed="false">
      <c r="B937" s="50"/>
      <c r="C937" s="29"/>
      <c r="D937" s="85"/>
    </row>
    <row r="938" customFormat="false" ht="15.75" hidden="false" customHeight="false" outlineLevel="0" collapsed="false">
      <c r="B938" s="50"/>
      <c r="C938" s="29"/>
      <c r="D938" s="85"/>
    </row>
    <row r="939" customFormat="false" ht="15.75" hidden="false" customHeight="false" outlineLevel="0" collapsed="false">
      <c r="B939" s="50"/>
      <c r="C939" s="29"/>
      <c r="D939" s="85"/>
    </row>
    <row r="940" customFormat="false" ht="15.75" hidden="false" customHeight="false" outlineLevel="0" collapsed="false">
      <c r="B940" s="50"/>
      <c r="C940" s="29"/>
      <c r="D940" s="85"/>
    </row>
    <row r="941" customFormat="false" ht="15.75" hidden="false" customHeight="false" outlineLevel="0" collapsed="false">
      <c r="B941" s="50"/>
      <c r="C941" s="29"/>
      <c r="D941" s="85"/>
    </row>
    <row r="942" customFormat="false" ht="15.75" hidden="false" customHeight="false" outlineLevel="0" collapsed="false">
      <c r="B942" s="50"/>
      <c r="C942" s="29"/>
      <c r="D942" s="85"/>
    </row>
    <row r="943" customFormat="false" ht="15.75" hidden="false" customHeight="false" outlineLevel="0" collapsed="false">
      <c r="B943" s="50"/>
      <c r="C943" s="29"/>
      <c r="D943" s="85"/>
    </row>
    <row r="944" customFormat="false" ht="15.75" hidden="false" customHeight="false" outlineLevel="0" collapsed="false">
      <c r="B944" s="50"/>
      <c r="C944" s="29"/>
      <c r="D944" s="85"/>
    </row>
    <row r="945" customFormat="false" ht="15.75" hidden="false" customHeight="false" outlineLevel="0" collapsed="false">
      <c r="B945" s="50"/>
      <c r="C945" s="29"/>
      <c r="D945" s="85"/>
    </row>
    <row r="946" customFormat="false" ht="15.75" hidden="false" customHeight="false" outlineLevel="0" collapsed="false">
      <c r="B946" s="50"/>
      <c r="C946" s="29"/>
      <c r="D946" s="85"/>
    </row>
    <row r="947" customFormat="false" ht="15.75" hidden="false" customHeight="false" outlineLevel="0" collapsed="false">
      <c r="B947" s="50"/>
      <c r="C947" s="29"/>
      <c r="D947" s="85"/>
    </row>
    <row r="948" customFormat="false" ht="15.75" hidden="false" customHeight="false" outlineLevel="0" collapsed="false">
      <c r="B948" s="50"/>
      <c r="C948" s="29"/>
      <c r="D948" s="85"/>
    </row>
    <row r="949" customFormat="false" ht="15.75" hidden="false" customHeight="false" outlineLevel="0" collapsed="false">
      <c r="B949" s="50"/>
      <c r="C949" s="29"/>
      <c r="D949" s="85"/>
    </row>
    <row r="950" customFormat="false" ht="15.75" hidden="false" customHeight="false" outlineLevel="0" collapsed="false">
      <c r="B950" s="50"/>
      <c r="C950" s="29"/>
      <c r="D950" s="85"/>
    </row>
    <row r="951" customFormat="false" ht="15.75" hidden="false" customHeight="false" outlineLevel="0" collapsed="false">
      <c r="B951" s="50"/>
      <c r="C951" s="29"/>
      <c r="D951" s="85"/>
    </row>
    <row r="952" customFormat="false" ht="15.75" hidden="false" customHeight="false" outlineLevel="0" collapsed="false">
      <c r="B952" s="50"/>
      <c r="C952" s="29"/>
      <c r="D952" s="85"/>
    </row>
    <row r="953" customFormat="false" ht="15.75" hidden="false" customHeight="false" outlineLevel="0" collapsed="false">
      <c r="B953" s="50"/>
      <c r="C953" s="29"/>
      <c r="D953" s="85"/>
    </row>
    <row r="954" customFormat="false" ht="15.75" hidden="false" customHeight="false" outlineLevel="0" collapsed="false">
      <c r="B954" s="50"/>
      <c r="C954" s="29"/>
      <c r="D954" s="85"/>
    </row>
    <row r="955" customFormat="false" ht="15.75" hidden="false" customHeight="false" outlineLevel="0" collapsed="false">
      <c r="B955" s="50"/>
      <c r="C955" s="29"/>
      <c r="D955" s="85"/>
    </row>
    <row r="956" customFormat="false" ht="15.75" hidden="false" customHeight="false" outlineLevel="0" collapsed="false">
      <c r="B956" s="50"/>
      <c r="C956" s="29"/>
      <c r="D956" s="85"/>
    </row>
    <row r="957" customFormat="false" ht="15.75" hidden="false" customHeight="false" outlineLevel="0" collapsed="false">
      <c r="B957" s="50"/>
      <c r="C957" s="29"/>
      <c r="D957" s="85"/>
    </row>
    <row r="958" customFormat="false" ht="15.75" hidden="false" customHeight="false" outlineLevel="0" collapsed="false">
      <c r="B958" s="50"/>
      <c r="C958" s="29"/>
      <c r="D958" s="85"/>
    </row>
    <row r="959" customFormat="false" ht="15.75" hidden="false" customHeight="false" outlineLevel="0" collapsed="false">
      <c r="B959" s="50"/>
      <c r="C959" s="29"/>
      <c r="D959" s="85"/>
    </row>
    <row r="960" customFormat="false" ht="15.75" hidden="false" customHeight="false" outlineLevel="0" collapsed="false">
      <c r="B960" s="50"/>
      <c r="C960" s="29"/>
      <c r="D960" s="85"/>
    </row>
    <row r="961" customFormat="false" ht="15.75" hidden="false" customHeight="false" outlineLevel="0" collapsed="false">
      <c r="B961" s="50"/>
      <c r="C961" s="29"/>
      <c r="D961" s="85"/>
    </row>
    <row r="962" customFormat="false" ht="15.75" hidden="false" customHeight="false" outlineLevel="0" collapsed="false">
      <c r="B962" s="50"/>
      <c r="C962" s="29"/>
      <c r="D962" s="85"/>
    </row>
    <row r="963" customFormat="false" ht="15.75" hidden="false" customHeight="false" outlineLevel="0" collapsed="false">
      <c r="B963" s="50"/>
      <c r="C963" s="29"/>
      <c r="D963" s="85"/>
    </row>
    <row r="964" customFormat="false" ht="15.75" hidden="false" customHeight="false" outlineLevel="0" collapsed="false">
      <c r="B964" s="50"/>
      <c r="C964" s="29"/>
      <c r="D964" s="85"/>
    </row>
    <row r="965" customFormat="false" ht="15.75" hidden="false" customHeight="false" outlineLevel="0" collapsed="false">
      <c r="B965" s="50"/>
      <c r="C965" s="29"/>
      <c r="D965" s="85"/>
    </row>
    <row r="966" customFormat="false" ht="15.75" hidden="false" customHeight="false" outlineLevel="0" collapsed="false">
      <c r="B966" s="50"/>
      <c r="C966" s="29"/>
      <c r="D966" s="85"/>
    </row>
    <row r="967" customFormat="false" ht="15.75" hidden="false" customHeight="false" outlineLevel="0" collapsed="false">
      <c r="B967" s="50"/>
      <c r="C967" s="29"/>
      <c r="D967" s="85"/>
    </row>
    <row r="968" customFormat="false" ht="15.75" hidden="false" customHeight="false" outlineLevel="0" collapsed="false">
      <c r="B968" s="50"/>
      <c r="C968" s="29"/>
      <c r="D968" s="85"/>
    </row>
    <row r="969" customFormat="false" ht="15.75" hidden="false" customHeight="false" outlineLevel="0" collapsed="false">
      <c r="B969" s="50"/>
      <c r="C969" s="29"/>
      <c r="D969" s="85"/>
    </row>
    <row r="970" customFormat="false" ht="15.75" hidden="false" customHeight="false" outlineLevel="0" collapsed="false">
      <c r="B970" s="50"/>
      <c r="C970" s="29"/>
      <c r="D970" s="85"/>
    </row>
    <row r="971" customFormat="false" ht="15.75" hidden="false" customHeight="false" outlineLevel="0" collapsed="false">
      <c r="B971" s="50"/>
      <c r="C971" s="29"/>
      <c r="D971" s="85"/>
    </row>
    <row r="972" customFormat="false" ht="15.75" hidden="false" customHeight="false" outlineLevel="0" collapsed="false">
      <c r="B972" s="50"/>
      <c r="C972" s="29"/>
      <c r="D972" s="85"/>
    </row>
    <row r="973" customFormat="false" ht="15.75" hidden="false" customHeight="false" outlineLevel="0" collapsed="false">
      <c r="B973" s="50"/>
      <c r="C973" s="29"/>
      <c r="D973" s="85"/>
    </row>
    <row r="974" customFormat="false" ht="15.75" hidden="false" customHeight="false" outlineLevel="0" collapsed="false">
      <c r="B974" s="50"/>
      <c r="C974" s="29"/>
      <c r="D974" s="85"/>
    </row>
    <row r="975" customFormat="false" ht="15.75" hidden="false" customHeight="false" outlineLevel="0" collapsed="false">
      <c r="B975" s="50"/>
      <c r="C975" s="29"/>
      <c r="D975" s="85"/>
    </row>
    <row r="976" customFormat="false" ht="15.75" hidden="false" customHeight="false" outlineLevel="0" collapsed="false">
      <c r="B976" s="50"/>
      <c r="C976" s="29"/>
      <c r="D976" s="85"/>
    </row>
    <row r="977" customFormat="false" ht="15.75" hidden="false" customHeight="false" outlineLevel="0" collapsed="false">
      <c r="B977" s="50"/>
      <c r="C977" s="29"/>
      <c r="D977" s="85"/>
    </row>
    <row r="978" customFormat="false" ht="15.75" hidden="false" customHeight="false" outlineLevel="0" collapsed="false">
      <c r="B978" s="50"/>
      <c r="C978" s="29"/>
      <c r="D978" s="85"/>
    </row>
    <row r="979" customFormat="false" ht="15.75" hidden="false" customHeight="false" outlineLevel="0" collapsed="false">
      <c r="B979" s="50"/>
      <c r="C979" s="29"/>
      <c r="D979" s="85"/>
    </row>
    <row r="980" customFormat="false" ht="15.75" hidden="false" customHeight="false" outlineLevel="0" collapsed="false">
      <c r="B980" s="50"/>
      <c r="C980" s="29"/>
      <c r="D980" s="85"/>
    </row>
    <row r="981" customFormat="false" ht="15.75" hidden="false" customHeight="false" outlineLevel="0" collapsed="false">
      <c r="B981" s="50"/>
      <c r="C981" s="29"/>
      <c r="D981" s="85"/>
    </row>
    <row r="982" customFormat="false" ht="15.75" hidden="false" customHeight="false" outlineLevel="0" collapsed="false">
      <c r="B982" s="50"/>
      <c r="C982" s="29"/>
      <c r="D982" s="85"/>
    </row>
    <row r="983" customFormat="false" ht="15.75" hidden="false" customHeight="false" outlineLevel="0" collapsed="false">
      <c r="B983" s="50"/>
      <c r="C983" s="29"/>
      <c r="D983" s="85"/>
    </row>
    <row r="984" customFormat="false" ht="15.75" hidden="false" customHeight="false" outlineLevel="0" collapsed="false">
      <c r="B984" s="50"/>
      <c r="C984" s="29"/>
      <c r="D984" s="85"/>
    </row>
    <row r="985" customFormat="false" ht="15.75" hidden="false" customHeight="false" outlineLevel="0" collapsed="false">
      <c r="B985" s="50"/>
      <c r="C985" s="29"/>
      <c r="D985" s="85"/>
    </row>
    <row r="986" customFormat="false" ht="15.75" hidden="false" customHeight="false" outlineLevel="0" collapsed="false">
      <c r="B986" s="50"/>
      <c r="C986" s="29"/>
      <c r="D986" s="85"/>
    </row>
    <row r="987" customFormat="false" ht="15.75" hidden="false" customHeight="false" outlineLevel="0" collapsed="false">
      <c r="B987" s="50"/>
      <c r="C987" s="29"/>
      <c r="D987" s="85"/>
    </row>
    <row r="988" customFormat="false" ht="15.75" hidden="false" customHeight="false" outlineLevel="0" collapsed="false">
      <c r="B988" s="50"/>
      <c r="C988" s="29"/>
      <c r="D988" s="85"/>
    </row>
    <row r="989" customFormat="false" ht="15.75" hidden="false" customHeight="false" outlineLevel="0" collapsed="false">
      <c r="B989" s="50"/>
      <c r="C989" s="29"/>
      <c r="D989" s="85"/>
    </row>
    <row r="990" customFormat="false" ht="15.75" hidden="false" customHeight="false" outlineLevel="0" collapsed="false">
      <c r="B990" s="50"/>
      <c r="C990" s="29"/>
      <c r="D990" s="85"/>
    </row>
    <row r="991" customFormat="false" ht="15.75" hidden="false" customHeight="false" outlineLevel="0" collapsed="false">
      <c r="B991" s="50"/>
      <c r="C991" s="29"/>
      <c r="D991" s="85"/>
    </row>
    <row r="992" customFormat="false" ht="15.75" hidden="false" customHeight="false" outlineLevel="0" collapsed="false">
      <c r="B992" s="50"/>
      <c r="C992" s="29"/>
      <c r="D992" s="85"/>
    </row>
    <row r="993" customFormat="false" ht="15.75" hidden="false" customHeight="false" outlineLevel="0" collapsed="false">
      <c r="B993" s="50"/>
      <c r="C993" s="29"/>
      <c r="D993" s="85"/>
    </row>
    <row r="994" customFormat="false" ht="15.75" hidden="false" customHeight="false" outlineLevel="0" collapsed="false">
      <c r="B994" s="50"/>
      <c r="C994" s="29"/>
      <c r="D994" s="85"/>
    </row>
    <row r="995" customFormat="false" ht="15.75" hidden="false" customHeight="false" outlineLevel="0" collapsed="false">
      <c r="B995" s="50"/>
      <c r="C995" s="29"/>
      <c r="D995" s="85"/>
    </row>
  </sheetData>
  <mergeCells count="8">
    <mergeCell ref="G1:I1"/>
    <mergeCell ref="A81:B81"/>
    <mergeCell ref="A85:B85"/>
    <mergeCell ref="A89:B89"/>
    <mergeCell ref="A93:B93"/>
    <mergeCell ref="A99:B99"/>
    <mergeCell ref="A105:B105"/>
    <mergeCell ref="A130:B130"/>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37</TotalTime>
  <Application>LibreOffice/7.1.2.2$MacOSX_X86_64 LibreOffice_project/8a45595d069ef5570103caea1b71cc9d82b2aae4</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en-CA</dc:language>
  <cp:lastModifiedBy/>
  <dcterms:modified xsi:type="dcterms:W3CDTF">2021-09-07T10:18:51Z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